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1.6.1.кон-гент тушум" sheetId="4" r:id="rId1"/>
    <sheet name="мах-й тушум" sheetId="6" state="hidden" r:id="rId2"/>
    <sheet name="1.6.2.кон-гент кўшимча" sheetId="1" r:id="rId3"/>
    <sheet name="мах кўшимча" sheetId="8" state="hidden" r:id="rId4"/>
    <sheet name="захира фонди" sheetId="5" state="hidden" r:id="rId5"/>
  </sheets>
  <calcPr calcId="144525"/>
</workbook>
</file>

<file path=xl/calcChain.xml><?xml version="1.0" encoding="utf-8"?>
<calcChain xmlns="http://schemas.openxmlformats.org/spreadsheetml/2006/main">
  <c r="D27" i="4" l="1"/>
  <c r="C27" i="4"/>
  <c r="I8" i="8"/>
  <c r="I7" i="8"/>
  <c r="I6" i="8"/>
  <c r="A7" i="8"/>
  <c r="A8" i="8" s="1"/>
  <c r="A9" i="8" s="1"/>
  <c r="A10" i="8" s="1"/>
  <c r="A11" i="8" s="1"/>
  <c r="A12" i="8" s="1"/>
  <c r="A13" i="8" s="1"/>
  <c r="D13" i="8"/>
  <c r="E13" i="8" s="1"/>
  <c r="F13" i="8" s="1"/>
  <c r="G13" i="8" s="1"/>
  <c r="D12" i="8"/>
  <c r="E12" i="8" s="1"/>
  <c r="F12" i="8" s="1"/>
  <c r="G12" i="8" s="1"/>
  <c r="D11" i="8"/>
  <c r="E11" i="8" s="1"/>
  <c r="F11" i="8" s="1"/>
  <c r="G11" i="8" s="1"/>
  <c r="D10" i="8"/>
  <c r="E10" i="8" s="1"/>
  <c r="F10" i="8" s="1"/>
  <c r="G10" i="8" s="1"/>
  <c r="D9" i="8"/>
  <c r="E9" i="8" s="1"/>
  <c r="F9" i="8" s="1"/>
  <c r="G9" i="8" s="1"/>
  <c r="C14" i="8"/>
  <c r="E14" i="8" l="1"/>
  <c r="D14" i="8"/>
  <c r="F14" i="8" l="1"/>
  <c r="G14" i="8" l="1"/>
  <c r="D15" i="8"/>
  <c r="D26" i="1"/>
  <c r="E26" i="1" s="1"/>
  <c r="F26" i="1" s="1"/>
  <c r="G26" i="1" s="1"/>
  <c r="D25" i="1"/>
  <c r="E25" i="1" s="1"/>
  <c r="F25" i="1" s="1"/>
  <c r="G25" i="1" s="1"/>
  <c r="D24" i="1"/>
  <c r="E24" i="1" s="1"/>
  <c r="F24" i="1" s="1"/>
  <c r="G24" i="1" s="1"/>
  <c r="D23" i="1"/>
  <c r="E23" i="1" s="1"/>
  <c r="F23" i="1" s="1"/>
  <c r="G23" i="1" s="1"/>
  <c r="D22" i="1"/>
  <c r="E22" i="1" s="1"/>
  <c r="F22" i="1" s="1"/>
  <c r="G22" i="1" s="1"/>
  <c r="D21" i="1"/>
  <c r="E21" i="1" s="1"/>
  <c r="F21" i="1" s="1"/>
  <c r="G21" i="1" s="1"/>
  <c r="D20" i="1"/>
  <c r="E20" i="1" s="1"/>
  <c r="F20" i="1" s="1"/>
  <c r="G20" i="1" s="1"/>
  <c r="D19" i="1"/>
  <c r="E19" i="1" s="1"/>
  <c r="F19" i="1" s="1"/>
  <c r="G19" i="1" s="1"/>
  <c r="D18" i="1"/>
  <c r="E18" i="1" s="1"/>
  <c r="F18" i="1" s="1"/>
  <c r="G18" i="1" s="1"/>
  <c r="D17" i="1"/>
  <c r="E17" i="1" s="1"/>
  <c r="F17" i="1" s="1"/>
  <c r="G17" i="1" s="1"/>
  <c r="D16" i="1"/>
  <c r="E16" i="1" s="1"/>
  <c r="F16" i="1" s="1"/>
  <c r="G16" i="1" s="1"/>
  <c r="D15" i="1"/>
  <c r="E15" i="1" s="1"/>
  <c r="F15" i="1" s="1"/>
  <c r="G15" i="1" s="1"/>
  <c r="D14" i="1"/>
  <c r="E14" i="1" s="1"/>
  <c r="F14" i="1" s="1"/>
  <c r="G14" i="1" s="1"/>
  <c r="D13" i="1"/>
  <c r="E13" i="1" s="1"/>
  <c r="F13" i="1" s="1"/>
  <c r="G13" i="1" s="1"/>
  <c r="D11" i="1"/>
  <c r="E11" i="1" s="1"/>
  <c r="F11" i="1" s="1"/>
  <c r="G11" i="1" s="1"/>
  <c r="D10" i="1"/>
  <c r="E10" i="1" s="1"/>
  <c r="F10" i="1" s="1"/>
  <c r="G10" i="1" s="1"/>
  <c r="D9" i="1"/>
  <c r="E9" i="1" s="1"/>
  <c r="F9" i="1" s="1"/>
  <c r="G9" i="1" s="1"/>
  <c r="D8" i="1"/>
  <c r="E8" i="1" s="1"/>
  <c r="F8" i="1" s="1"/>
  <c r="G8" i="1" s="1"/>
  <c r="D7" i="1"/>
  <c r="E7" i="1" s="1"/>
  <c r="F7" i="1" s="1"/>
  <c r="G7" i="1" s="1"/>
  <c r="E15" i="8" l="1"/>
  <c r="F15" i="8" l="1"/>
  <c r="G15" i="8" l="1"/>
  <c r="D6" i="1" l="1"/>
  <c r="E6" i="1" l="1"/>
  <c r="D27" i="1"/>
  <c r="D14" i="6"/>
  <c r="F6" i="1" l="1"/>
  <c r="E27" i="1"/>
  <c r="C14" i="6"/>
  <c r="E8" i="6"/>
  <c r="F8" i="6" s="1"/>
  <c r="G8" i="6" s="1"/>
  <c r="E7" i="6"/>
  <c r="F7" i="6" s="1"/>
  <c r="G7" i="6" s="1"/>
  <c r="E6" i="6"/>
  <c r="F6" i="6" s="1"/>
  <c r="G6" i="6" s="1"/>
  <c r="E13" i="6"/>
  <c r="F13" i="6" s="1"/>
  <c r="G13" i="6" s="1"/>
  <c r="E12" i="6"/>
  <c r="F12" i="6" s="1"/>
  <c r="G12" i="6" s="1"/>
  <c r="E11" i="6"/>
  <c r="F11" i="6" s="1"/>
  <c r="G11" i="6" s="1"/>
  <c r="E10" i="6"/>
  <c r="F10" i="6" s="1"/>
  <c r="G10" i="6" s="1"/>
  <c r="E9" i="6"/>
  <c r="F9" i="6" s="1"/>
  <c r="G9" i="6" s="1"/>
  <c r="F27" i="1" l="1"/>
  <c r="G6" i="1"/>
  <c r="G27" i="1" s="1"/>
  <c r="E14" i="6"/>
  <c r="G14" i="6"/>
  <c r="F14" i="6"/>
  <c r="D15" i="6"/>
  <c r="E7" i="4"/>
  <c r="F7" i="4" s="1"/>
  <c r="E8" i="4"/>
  <c r="F8" i="4" s="1"/>
  <c r="G8" i="4" s="1"/>
  <c r="E9" i="4"/>
  <c r="F9" i="4" s="1"/>
  <c r="E10" i="4"/>
  <c r="F10" i="4" s="1"/>
  <c r="G10" i="4" s="1"/>
  <c r="E11" i="4"/>
  <c r="F11" i="4" s="1"/>
  <c r="E13" i="4"/>
  <c r="F13" i="4" s="1"/>
  <c r="E14" i="4"/>
  <c r="F14" i="4" s="1"/>
  <c r="G14" i="4" s="1"/>
  <c r="E15" i="4"/>
  <c r="F15" i="4" s="1"/>
  <c r="E16" i="4"/>
  <c r="F16" i="4" s="1"/>
  <c r="G16" i="4" s="1"/>
  <c r="E17" i="4"/>
  <c r="F17" i="4" s="1"/>
  <c r="E18" i="4"/>
  <c r="F18" i="4" s="1"/>
  <c r="G18" i="4" s="1"/>
  <c r="E19" i="4"/>
  <c r="F19" i="4" s="1"/>
  <c r="E20" i="4"/>
  <c r="F20" i="4" s="1"/>
  <c r="G20" i="4" s="1"/>
  <c r="E21" i="4"/>
  <c r="F21" i="4" s="1"/>
  <c r="E22" i="4"/>
  <c r="F22" i="4" s="1"/>
  <c r="G22" i="4" s="1"/>
  <c r="E23" i="4"/>
  <c r="F23" i="4" s="1"/>
  <c r="E24" i="4"/>
  <c r="F24" i="4" s="1"/>
  <c r="G24" i="4" s="1"/>
  <c r="E25" i="4"/>
  <c r="F25" i="4" s="1"/>
  <c r="E26" i="4"/>
  <c r="F26" i="4" s="1"/>
  <c r="G26" i="4" s="1"/>
  <c r="E6" i="4"/>
  <c r="G28" i="1" l="1"/>
  <c r="F6" i="4"/>
  <c r="E27" i="4"/>
  <c r="G25" i="4"/>
  <c r="G23" i="4"/>
  <c r="G21" i="4"/>
  <c r="G19" i="4"/>
  <c r="G17" i="4"/>
  <c r="G15" i="4"/>
  <c r="G13" i="4"/>
  <c r="G11" i="4"/>
  <c r="G9" i="4"/>
  <c r="G7" i="4"/>
  <c r="F15" i="6"/>
  <c r="E15" i="6"/>
  <c r="G15" i="6"/>
  <c r="G6" i="4" l="1"/>
  <c r="G27" i="4" s="1"/>
  <c r="F27" i="4"/>
  <c r="F28" i="4" s="1"/>
  <c r="D28" i="4"/>
  <c r="E28" i="4"/>
  <c r="G28" i="4" l="1"/>
  <c r="D28" i="1" l="1"/>
  <c r="F28" i="1"/>
  <c r="E28" i="1" l="1"/>
</calcChain>
</file>

<file path=xl/sharedStrings.xml><?xml version="1.0" encoding="utf-8"?>
<sst xmlns="http://schemas.openxmlformats.org/spreadsheetml/2006/main" count="164" uniqueCount="104">
  <si>
    <t>Юридик шахслардан олинадиган даромад (фойда)  солиги</t>
  </si>
  <si>
    <t xml:space="preserve">Савдо ва умумий овқатланиш корхоналари учун ягона солиқ тўловидан Давлат бюджетига ажратма </t>
  </si>
  <si>
    <t>Ягона солиқ тўловидан Давлат бюджетига ажратма. шу жум, кичик корхона ва микрофирмалар</t>
  </si>
  <si>
    <t>Жисмоний шахслардан олинадиган даромад солиғи</t>
  </si>
  <si>
    <t>Тадбиркорлик фаолияти билан шуғулланувчи юридик ва жисмоний шахслар даромадидан олинадиган қатъий белгилан солиқ</t>
  </si>
  <si>
    <t>Қўшилган қиймат солиғи</t>
  </si>
  <si>
    <t>Акциз солиғи,  жами</t>
  </si>
  <si>
    <t>Юридик шахсларнинг мол-мулкига солинадиган  солиқ</t>
  </si>
  <si>
    <t>Жисмоний шахсларнинг мол-мулкига солинадиган  солиқ</t>
  </si>
  <si>
    <t>Юридик шахслар ер солиғи</t>
  </si>
  <si>
    <t>Жисмоний шахслар ер солиғи</t>
  </si>
  <si>
    <t>Ягона ер солиғи</t>
  </si>
  <si>
    <t>Ер қаъридан фойдаланганлик учун солиқ</t>
  </si>
  <si>
    <t>Сув ресурсларидан фойдаланганлик учун солиқ</t>
  </si>
  <si>
    <t>Давлат божи</t>
  </si>
  <si>
    <t>Жарималар</t>
  </si>
  <si>
    <t>Йўл патрул хизмати йиғимлари</t>
  </si>
  <si>
    <t>Бозорлар даромадидан тушум</t>
  </si>
  <si>
    <t>Маҳаллий солиқлар ва йиғимлар</t>
  </si>
  <si>
    <t>Жисмоний шахслар томонидан транспорт воситалари учун истеъмол қилинадиган бензин, дизел ёқилғиси ва газ учун солиқ</t>
  </si>
  <si>
    <t>Бошқа солиқ ва йиғимлар</t>
  </si>
  <si>
    <t>ЖАМИ</t>
  </si>
  <si>
    <t>даромадлар тушумининг ўтган йилга нисбатан ўсиш фоизи, %да</t>
  </si>
  <si>
    <t>млн. сўмда</t>
  </si>
  <si>
    <t>Тадбиркорлик фаолияти билан шуғулланувчи юридик ва жисмоний шахслар даромадидан олинадиган қатъий белгиланган солиқ</t>
  </si>
  <si>
    <t>Даромад манбалари</t>
  </si>
  <si>
    <t>№</t>
  </si>
  <si>
    <t>2017 йилда маҳаллий бюджет</t>
  </si>
  <si>
    <t>Даромадлар тушумининг ўтган йилга нисбатан ўсиш фоизи, %да</t>
  </si>
  <si>
    <t>Юридик шахслардан олинадиган даромад (фойда)  солиги (инфра билан)</t>
  </si>
  <si>
    <t>Ижтимоий соҳа ва аҳолини ижтимоий ҳимоялаш харажатлар - жами</t>
  </si>
  <si>
    <t>Умумий таълим</t>
  </si>
  <si>
    <t>Кадрлар тайёрлаш</t>
  </si>
  <si>
    <t>Соғлиқни сақлаш</t>
  </si>
  <si>
    <t>Маданият ва оммавий ахборот воситалари</t>
  </si>
  <si>
    <t>Спорт</t>
  </si>
  <si>
    <t>Фан</t>
  </si>
  <si>
    <t>Ижтимоий таъминот</t>
  </si>
  <si>
    <t>Болали оилаларга ва кам таъминланган оилаларга нафақалар</t>
  </si>
  <si>
    <t>Иқтисодиётга харажатлар-жами</t>
  </si>
  <si>
    <t>Қишлоқ ва сув хўжалиги ташкилотлари</t>
  </si>
  <si>
    <t>Ободонлаштириш</t>
  </si>
  <si>
    <t>Дренаж ишлари билан боғлиқ харажатлар</t>
  </si>
  <si>
    <t>Уй-жой коммунал хўжалиги вазирлигининг худудий бўлимларини сақлаш харажатлари</t>
  </si>
  <si>
    <t>"Тоза ҳудуд" Давлат унитар корхонаси</t>
  </si>
  <si>
    <t>Кўп хонадонли уй-жой фондига туташ ҳудудларни ободонлаштириш</t>
  </si>
  <si>
    <t>Иситиш қозонхоналари ва иситиш тизимларини капитал таъмирлаш</t>
  </si>
  <si>
    <t>Давлат бошқарув органларини сақлаш</t>
  </si>
  <si>
    <t>Фуқароларнинг ўзини ўзи бошқариш органларини сақлаш</t>
  </si>
  <si>
    <t>Заҳира жамғармаси</t>
  </si>
  <si>
    <t>Марказлаштирилган инвестицияларни молиялаштиришга харажатлар</t>
  </si>
  <si>
    <t>Бошқа харажатлар-жами</t>
  </si>
  <si>
    <t>Ижтимоий кўникма марказлари</t>
  </si>
  <si>
    <t>Қабуллар уйини сақлаш харажатлари</t>
  </si>
  <si>
    <t>Давлат мукофотларини тўлаш бўйича харажатлар</t>
  </si>
  <si>
    <t>Маҳаллий бюджетдан молиялаштириладиган бошқа муассасалар ва тадбирлар</t>
  </si>
  <si>
    <t>Чет эл кредитларини қоплаш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</si>
  <si>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</si>
  <si>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</si>
  <si>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</si>
  <si>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</si>
  <si>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</si>
  <si>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</si>
  <si>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</si>
  <si>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</si>
  <si>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</si>
  <si>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</si>
  <si>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</si>
  <si>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</si>
  <si>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</si>
  <si>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</si>
  <si>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</si>
  <si>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</si>
  <si>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</si>
  <si>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</si>
  <si>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6</t>
  </si>
  <si>
    <t>7.1</t>
  </si>
  <si>
    <t>7.2</t>
  </si>
  <si>
    <t>7.3</t>
  </si>
  <si>
    <t>7.4</t>
  </si>
  <si>
    <t>7.5</t>
  </si>
  <si>
    <t>2018-2029 йиллар учун прогнози</t>
  </si>
  <si>
    <t>Соҳалар номи</t>
  </si>
  <si>
    <t>Факт</t>
  </si>
  <si>
    <t>2022-2029</t>
  </si>
  <si>
    <t>2018-2029 йиллар учун қўшимча
 даромад прогнози</t>
  </si>
  <si>
    <t>2017 йил факт</t>
  </si>
  <si>
    <t>2018-2029 йиллар учун прогноз</t>
  </si>
  <si>
    <t xml:space="preserve">Жомбой туман маҳаллий бюджети харажатлар қисмининг, шу жумладан ҳокимликлар
 захира жамғармасининг  2018-2019 йиллар учун кутилаётган прогнози </t>
  </si>
  <si>
    <t>Жомбой туман маҳаллий бюджети даромадлар режасининг ортиғи билан бажарилиши натижасида 2017 йилда ҳокимлик ихтиёрида қолган ва 
2018-2019 йиллар учун кутилаётган қўшимча даромадлар прогнози</t>
  </si>
  <si>
    <t>Жомбой туман бюджетига 2017 йилда солиқ ва йиғимлардан келиб тушган даромадлар ва 2019-2029 йиллар учун даромадлар прогнози</t>
  </si>
  <si>
    <t>Прогноз</t>
  </si>
  <si>
    <t>Акциз солиғи</t>
  </si>
  <si>
    <t>2017 й.
(факт)</t>
  </si>
  <si>
    <t>2018 й. (кутилиш)</t>
  </si>
  <si>
    <t>2019 й.</t>
  </si>
  <si>
    <t>2020 й.</t>
  </si>
  <si>
    <t>2021 й.</t>
  </si>
  <si>
    <t>2022-2029 йилларда</t>
  </si>
  <si>
    <t>2019-2029 йилларда Жомбой туманининг маҳаллий бюджети даромадлари прогнози</t>
  </si>
  <si>
    <t>2022-2029 йиллар</t>
  </si>
  <si>
    <t>1.6.2-жадвал</t>
  </si>
  <si>
    <t>1.6.1-жадвал</t>
  </si>
  <si>
    <t>2019-2029 йилларда Жомбой тумани маҳаллий бюджетининг туман ихтиёрида қоладиган даромадлари режаси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</si>
</sst>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Baltica"/>
      <charset val="204"/>
    </font>
    <font>
      <sz val="11"/>
      <name val="Baltica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left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27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vertical="center" wrapText="1" shrinkToFit="1"/>
    </xf>
    <xf numFmtId="49" fontId="7" fillId="0" borderId="28" xfId="0" applyNumberFormat="1" applyFont="1" applyBorder="1" applyAlignment="1">
      <alignment vertical="center" wrapText="1" shrinkToFit="1"/>
    </xf>
    <xf numFmtId="0" fontId="3" fillId="0" borderId="8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vertical="center"/>
    </xf>
    <xf numFmtId="165" fontId="6" fillId="0" borderId="25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5" fontId="7" fillId="0" borderId="28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wrapText="1"/>
    </xf>
    <xf numFmtId="165" fontId="6" fillId="2" borderId="24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left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5" fontId="5" fillId="0" borderId="31" xfId="1" applyNumberFormat="1" applyFont="1" applyFill="1" applyBorder="1" applyAlignment="1">
      <alignment horizontal="center" vertical="center" wrapText="1"/>
    </xf>
    <xf numFmtId="165" fontId="2" fillId="0" borderId="31" xfId="1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5" fontId="3" fillId="0" borderId="3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zoomScale="60" workbookViewId="0">
      <selection activeCell="B6" sqref="B6"/>
    </sheetView>
  </sheetViews>
  <sheetFormatPr defaultColWidth="9.109375" defaultRowHeight="15.6"/>
  <cols>
    <col min="1" max="1" width="5.88671875" style="2" customWidth="1"/>
    <col min="2" max="2" width="62" style="2" customWidth="1"/>
    <col min="3" max="3" width="19.5546875" style="1" customWidth="1"/>
    <col min="4" max="4" width="17.109375" style="1" customWidth="1"/>
    <col min="5" max="8" width="19.88671875" style="1" customWidth="1"/>
    <col min="9" max="16384" width="9.109375" style="1"/>
  </cols>
  <sheetData>
    <row r="1" spans="1:8">
      <c r="G1" s="77" t="s">
        <v>102</v>
      </c>
      <c r="H1" s="77"/>
    </row>
    <row r="2" spans="1:8" ht="40.5" customHeight="1">
      <c r="A2" s="78" t="s">
        <v>99</v>
      </c>
      <c r="B2" s="78"/>
      <c r="C2" s="78"/>
      <c r="D2" s="78"/>
      <c r="E2" s="78"/>
      <c r="F2" s="78"/>
      <c r="G2" s="78"/>
      <c r="H2" s="78"/>
    </row>
    <row r="3" spans="1:8" ht="18">
      <c r="H3" s="63" t="s">
        <v>23</v>
      </c>
    </row>
    <row r="4" spans="1:8" ht="42" customHeight="1">
      <c r="A4" s="79" t="s">
        <v>26</v>
      </c>
      <c r="B4" s="79" t="s">
        <v>25</v>
      </c>
      <c r="C4" s="80" t="s">
        <v>93</v>
      </c>
      <c r="D4" s="81" t="s">
        <v>94</v>
      </c>
      <c r="E4" s="81" t="s">
        <v>91</v>
      </c>
      <c r="F4" s="81"/>
      <c r="G4" s="81"/>
      <c r="H4" s="81"/>
    </row>
    <row r="5" spans="1:8" s="3" customFormat="1" ht="39" customHeight="1">
      <c r="A5" s="79"/>
      <c r="B5" s="79"/>
      <c r="C5" s="80"/>
      <c r="D5" s="81"/>
      <c r="E5" s="75" t="s">
        <v>95</v>
      </c>
      <c r="F5" s="75" t="s">
        <v>96</v>
      </c>
      <c r="G5" s="75" t="s">
        <v>97</v>
      </c>
      <c r="H5" s="75" t="s">
        <v>98</v>
      </c>
    </row>
    <row r="6" spans="1:8" ht="25.5" customHeight="1">
      <c r="A6" s="65">
        <v>1</v>
      </c>
      <c r="B6" s="66" t="s">
        <v>0</v>
      </c>
      <c r="C6" s="67">
        <v>1908.4982</v>
      </c>
      <c r="D6" s="67">
        <v>1702.1780000000001</v>
      </c>
      <c r="E6" s="72">
        <f>+D6*1.103</f>
        <v>1877.502334</v>
      </c>
      <c r="F6" s="72">
        <f>+E6*1.104</f>
        <v>2072.762576736</v>
      </c>
      <c r="G6" s="72">
        <f>+F6*1.1</f>
        <v>2280.0388344096004</v>
      </c>
      <c r="H6" s="72">
        <v>29030.982596283829</v>
      </c>
    </row>
    <row r="7" spans="1:8" ht="42.75" customHeight="1">
      <c r="A7" s="65">
        <v>2</v>
      </c>
      <c r="B7" s="66" t="s">
        <v>1</v>
      </c>
      <c r="C7" s="67">
        <v>2394.7502000000004</v>
      </c>
      <c r="D7" s="67">
        <v>2502.8040000000001</v>
      </c>
      <c r="E7" s="72">
        <f t="shared" ref="E7:E26" si="0">+D7*1.103</f>
        <v>2760.5928119999999</v>
      </c>
      <c r="F7" s="72">
        <f t="shared" ref="F7:F26" si="1">+E7*1.104</f>
        <v>3047.694464448</v>
      </c>
      <c r="G7" s="72">
        <f t="shared" ref="G7:G26" si="2">+F7*1.1</f>
        <v>3352.4639108928004</v>
      </c>
      <c r="H7" s="72">
        <v>42685.817444420944</v>
      </c>
    </row>
    <row r="8" spans="1:8" ht="48.75" customHeight="1">
      <c r="A8" s="65">
        <v>3</v>
      </c>
      <c r="B8" s="66" t="s">
        <v>2</v>
      </c>
      <c r="C8" s="67">
        <v>5742.7831999999999</v>
      </c>
      <c r="D8" s="67">
        <v>6788.7330000000002</v>
      </c>
      <c r="E8" s="72">
        <f t="shared" si="0"/>
        <v>7487.9724990000004</v>
      </c>
      <c r="F8" s="72">
        <f t="shared" si="1"/>
        <v>8266.7216388960005</v>
      </c>
      <c r="G8" s="72">
        <f t="shared" si="2"/>
        <v>9093.393802785602</v>
      </c>
      <c r="H8" s="72">
        <v>115783.18458693376</v>
      </c>
    </row>
    <row r="9" spans="1:8" ht="40.5" customHeight="1">
      <c r="A9" s="65">
        <v>4</v>
      </c>
      <c r="B9" s="66" t="s">
        <v>3</v>
      </c>
      <c r="C9" s="67">
        <v>11689.954599999999</v>
      </c>
      <c r="D9" s="67">
        <v>12518.242</v>
      </c>
      <c r="E9" s="72">
        <f t="shared" si="0"/>
        <v>13807.620926</v>
      </c>
      <c r="F9" s="72">
        <f t="shared" si="1"/>
        <v>15243.613502304001</v>
      </c>
      <c r="G9" s="72">
        <f t="shared" si="2"/>
        <v>16767.9748525344</v>
      </c>
      <c r="H9" s="72">
        <v>213501.09426750266</v>
      </c>
    </row>
    <row r="10" spans="1:8" ht="53.25" customHeight="1">
      <c r="A10" s="65">
        <v>5</v>
      </c>
      <c r="B10" s="66" t="s">
        <v>24</v>
      </c>
      <c r="C10" s="67">
        <v>2313.8298999999997</v>
      </c>
      <c r="D10" s="67">
        <v>2576.2950000000001</v>
      </c>
      <c r="E10" s="72">
        <f t="shared" si="0"/>
        <v>2841.6533850000001</v>
      </c>
      <c r="F10" s="72">
        <f t="shared" si="1"/>
        <v>3137.1853370400004</v>
      </c>
      <c r="G10" s="72">
        <f t="shared" si="2"/>
        <v>3450.9038707440009</v>
      </c>
      <c r="H10" s="72">
        <v>43939.220990926362</v>
      </c>
    </row>
    <row r="11" spans="1:8" ht="29.25" customHeight="1">
      <c r="A11" s="65">
        <v>6</v>
      </c>
      <c r="B11" s="66" t="s">
        <v>5</v>
      </c>
      <c r="C11" s="67">
        <v>12080.6908</v>
      </c>
      <c r="D11" s="67">
        <v>13840.255999999999</v>
      </c>
      <c r="E11" s="72">
        <f t="shared" si="0"/>
        <v>15265.802367999999</v>
      </c>
      <c r="F11" s="72">
        <f t="shared" si="1"/>
        <v>16853.445814272</v>
      </c>
      <c r="G11" s="72">
        <f t="shared" si="2"/>
        <v>18538.790395699201</v>
      </c>
      <c r="H11" s="72">
        <v>236048.30462155709</v>
      </c>
    </row>
    <row r="12" spans="1:8">
      <c r="A12" s="65">
        <v>7</v>
      </c>
      <c r="B12" s="66" t="s">
        <v>6</v>
      </c>
      <c r="C12" s="67">
        <v>3191.0414999999998</v>
      </c>
      <c r="D12" s="67">
        <v>3764.527</v>
      </c>
      <c r="E12" s="72">
        <v>4152.2732809999998</v>
      </c>
      <c r="F12" s="72">
        <v>4584.1097022240001</v>
      </c>
      <c r="G12" s="72">
        <v>5042.5206724464006</v>
      </c>
      <c r="H12" s="72">
        <v>64204.752863825379</v>
      </c>
    </row>
    <row r="13" spans="1:8" ht="24.75" customHeight="1">
      <c r="A13" s="65">
        <v>8</v>
      </c>
      <c r="B13" s="66" t="s">
        <v>7</v>
      </c>
      <c r="C13" s="73">
        <v>7457.3182999999999</v>
      </c>
      <c r="D13" s="73">
        <v>7549.5209999999997</v>
      </c>
      <c r="E13" s="74">
        <f t="shared" si="0"/>
        <v>8327.1216629999999</v>
      </c>
      <c r="F13" s="74">
        <f t="shared" si="1"/>
        <v>9193.142315952</v>
      </c>
      <c r="G13" s="74">
        <f t="shared" si="2"/>
        <v>10112.456547547201</v>
      </c>
      <c r="H13" s="74">
        <v>128758.57446241184</v>
      </c>
    </row>
    <row r="14" spans="1:8" ht="24.75" customHeight="1">
      <c r="A14" s="65">
        <v>9</v>
      </c>
      <c r="B14" s="66" t="s">
        <v>8</v>
      </c>
      <c r="C14" s="73">
        <v>4957.0079999999998</v>
      </c>
      <c r="D14" s="73">
        <v>5799.2860000000001</v>
      </c>
      <c r="E14" s="74">
        <f t="shared" si="0"/>
        <v>6396.6124579999996</v>
      </c>
      <c r="F14" s="74">
        <f t="shared" si="1"/>
        <v>7061.8601536320002</v>
      </c>
      <c r="G14" s="74">
        <f t="shared" si="2"/>
        <v>7768.0461689952008</v>
      </c>
      <c r="H14" s="74">
        <v>98907.970222193238</v>
      </c>
    </row>
    <row r="15" spans="1:8" ht="27.75" customHeight="1">
      <c r="A15" s="65">
        <v>10</v>
      </c>
      <c r="B15" s="66" t="s">
        <v>9</v>
      </c>
      <c r="C15" s="73">
        <v>847.10229999999967</v>
      </c>
      <c r="D15" s="73">
        <v>1283.7739999999999</v>
      </c>
      <c r="E15" s="74">
        <f t="shared" si="0"/>
        <v>1416.0027219999999</v>
      </c>
      <c r="F15" s="74">
        <f t="shared" si="1"/>
        <v>1563.2670050880001</v>
      </c>
      <c r="G15" s="74">
        <f t="shared" si="2"/>
        <v>1719.5937055968002</v>
      </c>
      <c r="H15" s="74">
        <v>21895.01958758818</v>
      </c>
    </row>
    <row r="16" spans="1:8">
      <c r="A16" s="65">
        <v>11</v>
      </c>
      <c r="B16" s="66" t="s">
        <v>10</v>
      </c>
      <c r="C16" s="73">
        <v>3935.3802000000001</v>
      </c>
      <c r="D16" s="73">
        <v>4411.085</v>
      </c>
      <c r="E16" s="74">
        <f t="shared" si="0"/>
        <v>4865.4267549999995</v>
      </c>
      <c r="F16" s="74">
        <f t="shared" si="1"/>
        <v>5371.4311375199995</v>
      </c>
      <c r="G16" s="74">
        <f t="shared" si="2"/>
        <v>5908.5742512719999</v>
      </c>
      <c r="H16" s="74">
        <v>75231.92748686015</v>
      </c>
    </row>
    <row r="17" spans="1:8">
      <c r="A17" s="65">
        <v>12</v>
      </c>
      <c r="B17" s="66" t="s">
        <v>11</v>
      </c>
      <c r="C17" s="73">
        <v>2383.6682999999998</v>
      </c>
      <c r="D17" s="73">
        <v>3547.9810000000002</v>
      </c>
      <c r="E17" s="74">
        <f t="shared" si="0"/>
        <v>3913.4230430000002</v>
      </c>
      <c r="F17" s="74">
        <f t="shared" si="1"/>
        <v>4320.4190394720008</v>
      </c>
      <c r="G17" s="74">
        <f t="shared" si="2"/>
        <v>4752.4609434192016</v>
      </c>
      <c r="H17" s="74">
        <v>60511.517986336163</v>
      </c>
    </row>
    <row r="18" spans="1:8">
      <c r="A18" s="65">
        <v>13</v>
      </c>
      <c r="B18" s="66" t="s">
        <v>12</v>
      </c>
      <c r="C18" s="73">
        <v>3.5507</v>
      </c>
      <c r="D18" s="73">
        <v>0</v>
      </c>
      <c r="E18" s="74">
        <f t="shared" si="0"/>
        <v>0</v>
      </c>
      <c r="F18" s="74">
        <f t="shared" si="1"/>
        <v>0</v>
      </c>
      <c r="G18" s="74">
        <f t="shared" si="2"/>
        <v>0</v>
      </c>
      <c r="H18" s="74">
        <v>0</v>
      </c>
    </row>
    <row r="19" spans="1:8">
      <c r="A19" s="65">
        <v>14</v>
      </c>
      <c r="B19" s="66" t="s">
        <v>13</v>
      </c>
      <c r="C19" s="73">
        <v>55.792300000000004</v>
      </c>
      <c r="D19" s="73">
        <v>261.30599999999998</v>
      </c>
      <c r="E19" s="74">
        <f t="shared" si="0"/>
        <v>288.22051799999997</v>
      </c>
      <c r="F19" s="74">
        <f t="shared" si="1"/>
        <v>318.19545187199998</v>
      </c>
      <c r="G19" s="74">
        <f t="shared" si="2"/>
        <v>350.01499705920003</v>
      </c>
      <c r="H19" s="74">
        <v>4456.6255340537482</v>
      </c>
    </row>
    <row r="20" spans="1:8">
      <c r="A20" s="65">
        <v>15</v>
      </c>
      <c r="B20" s="66" t="s">
        <v>14</v>
      </c>
      <c r="C20" s="73">
        <v>2905.4821000000002</v>
      </c>
      <c r="D20" s="73">
        <v>2987.71</v>
      </c>
      <c r="E20" s="74">
        <f t="shared" si="0"/>
        <v>3295.4441299999999</v>
      </c>
      <c r="F20" s="74">
        <f t="shared" si="1"/>
        <v>3638.1703195200002</v>
      </c>
      <c r="G20" s="74">
        <f t="shared" si="2"/>
        <v>4001.9873514720007</v>
      </c>
      <c r="H20" s="74">
        <v>50955.985221723677</v>
      </c>
    </row>
    <row r="21" spans="1:8">
      <c r="A21" s="65">
        <v>16</v>
      </c>
      <c r="B21" s="66" t="s">
        <v>15</v>
      </c>
      <c r="C21" s="73">
        <v>2803.5026000000003</v>
      </c>
      <c r="D21" s="73">
        <v>3128.6849999999999</v>
      </c>
      <c r="E21" s="74">
        <f t="shared" si="0"/>
        <v>3450.9395549999999</v>
      </c>
      <c r="F21" s="74">
        <f t="shared" si="1"/>
        <v>3809.8372687200003</v>
      </c>
      <c r="G21" s="74">
        <f t="shared" si="2"/>
        <v>4190.8209955920011</v>
      </c>
      <c r="H21" s="74">
        <v>53360.341741142387</v>
      </c>
    </row>
    <row r="22" spans="1:8">
      <c r="A22" s="65">
        <v>17</v>
      </c>
      <c r="B22" s="66" t="s">
        <v>16</v>
      </c>
      <c r="C22" s="73">
        <v>105.38669999999999</v>
      </c>
      <c r="D22" s="73">
        <v>141.19999999999999</v>
      </c>
      <c r="E22" s="74">
        <f t="shared" si="0"/>
        <v>155.74359999999999</v>
      </c>
      <c r="F22" s="74">
        <f t="shared" si="1"/>
        <v>171.9409344</v>
      </c>
      <c r="G22" s="74">
        <f t="shared" si="2"/>
        <v>189.13502784000002</v>
      </c>
      <c r="H22" s="74">
        <v>2408.1939389389809</v>
      </c>
    </row>
    <row r="23" spans="1:8">
      <c r="A23" s="65">
        <v>18</v>
      </c>
      <c r="B23" s="66" t="s">
        <v>17</v>
      </c>
      <c r="C23" s="73">
        <v>588.86919999999998</v>
      </c>
      <c r="D23" s="73">
        <v>610.40599999999995</v>
      </c>
      <c r="E23" s="74">
        <f t="shared" si="0"/>
        <v>673.27781799999991</v>
      </c>
      <c r="F23" s="74">
        <f t="shared" si="1"/>
        <v>743.29871107199995</v>
      </c>
      <c r="G23" s="74">
        <f t="shared" si="2"/>
        <v>817.62858217919995</v>
      </c>
      <c r="H23" s="74">
        <v>10410.595109716623</v>
      </c>
    </row>
    <row r="24" spans="1:8">
      <c r="A24" s="65">
        <v>19</v>
      </c>
      <c r="B24" s="66" t="s">
        <v>18</v>
      </c>
      <c r="C24" s="73">
        <v>190.0351</v>
      </c>
      <c r="D24" s="73">
        <v>236.00899999999999</v>
      </c>
      <c r="E24" s="74">
        <f t="shared" si="0"/>
        <v>260.317927</v>
      </c>
      <c r="F24" s="74">
        <f t="shared" si="1"/>
        <v>287.39099140800005</v>
      </c>
      <c r="G24" s="74">
        <f t="shared" si="2"/>
        <v>316.13009054880007</v>
      </c>
      <c r="H24" s="74">
        <v>4025.1801935910062</v>
      </c>
    </row>
    <row r="25" spans="1:8" ht="46.8">
      <c r="A25" s="65">
        <v>20</v>
      </c>
      <c r="B25" s="66" t="s">
        <v>19</v>
      </c>
      <c r="C25" s="73">
        <v>6963.3975999999993</v>
      </c>
      <c r="D25" s="73">
        <v>6788.17</v>
      </c>
      <c r="E25" s="74">
        <f t="shared" si="0"/>
        <v>7487.3515099999995</v>
      </c>
      <c r="F25" s="74">
        <f t="shared" si="1"/>
        <v>8266.0360670400005</v>
      </c>
      <c r="G25" s="74">
        <f t="shared" si="2"/>
        <v>9092.6396737440009</v>
      </c>
      <c r="H25" s="74">
        <v>115773.58251053414</v>
      </c>
    </row>
    <row r="26" spans="1:8" ht="20.25" customHeight="1">
      <c r="A26" s="65">
        <v>21</v>
      </c>
      <c r="B26" s="66" t="s">
        <v>20</v>
      </c>
      <c r="C26" s="73">
        <v>499.39930000000294</v>
      </c>
      <c r="D26" s="73">
        <v>0</v>
      </c>
      <c r="E26" s="74">
        <f t="shared" si="0"/>
        <v>0</v>
      </c>
      <c r="F26" s="74">
        <f t="shared" si="1"/>
        <v>0</v>
      </c>
      <c r="G26" s="74">
        <f t="shared" si="2"/>
        <v>0</v>
      </c>
      <c r="H26" s="74">
        <v>0</v>
      </c>
    </row>
    <row r="27" spans="1:8" ht="19.5" customHeight="1">
      <c r="A27" s="68"/>
      <c r="B27" s="69" t="s">
        <v>21</v>
      </c>
      <c r="C27" s="70">
        <f>SUM(C6:C26)</f>
        <v>73017.441099999996</v>
      </c>
      <c r="D27" s="70">
        <f t="shared" ref="D27:G27" si="3">SUM(D6:D26)</f>
        <v>80438.168000000005</v>
      </c>
      <c r="E27" s="70">
        <f t="shared" si="3"/>
        <v>88723.299304</v>
      </c>
      <c r="F27" s="70">
        <f t="shared" si="3"/>
        <v>97950.522431616002</v>
      </c>
      <c r="G27" s="70">
        <f t="shared" si="3"/>
        <v>107745.5746747776</v>
      </c>
      <c r="H27" s="76">
        <v>1371888.8713665402</v>
      </c>
    </row>
    <row r="28" spans="1:8" ht="30.75" hidden="1" customHeight="1" thickBot="1">
      <c r="A28" s="23"/>
      <c r="B28" s="64" t="s">
        <v>22</v>
      </c>
      <c r="C28" s="33">
        <v>117.1</v>
      </c>
      <c r="D28" s="15">
        <f>+D27*100/C27</f>
        <v>110.16295119112304</v>
      </c>
      <c r="E28" s="23">
        <f>+E27*100/D27</f>
        <v>110.3</v>
      </c>
      <c r="F28" s="23">
        <f t="shared" ref="F28:G28" si="4">+F27*100/E27</f>
        <v>110.4</v>
      </c>
      <c r="G28" s="15">
        <f t="shared" si="4"/>
        <v>109.99999999999999</v>
      </c>
      <c r="H28" s="44">
        <v>882.09999999999991</v>
      </c>
    </row>
  </sheetData>
  <mergeCells count="7">
    <mergeCell ref="G1:H1"/>
    <mergeCell ref="A2:H2"/>
    <mergeCell ref="A4:A5"/>
    <mergeCell ref="B4:B5"/>
    <mergeCell ref="C4:C5"/>
    <mergeCell ref="D4:D5"/>
    <mergeCell ref="E4:H4"/>
  </mergeCells>
  <printOptions horizontalCentered="1"/>
  <pageMargins left="0.59055118110236227" right="0.59055118110236227" top="0.78740157480314965" bottom="0.78740157480314965" header="0.31496062992125984" footer="0.19685039370078741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workbookViewId="0">
      <pane xSplit="2" ySplit="5" topLeftCell="C6" activePane="bottomRight" state="frozen"/>
      <selection activeCell="B10" sqref="B10"/>
      <selection pane="topRight" activeCell="B10" sqref="B10"/>
      <selection pane="bottomLeft" activeCell="B10" sqref="B10"/>
      <selection pane="bottomRight" activeCell="E4" sqref="E4:H4"/>
    </sheetView>
  </sheetViews>
  <sheetFormatPr defaultColWidth="9.109375" defaultRowHeight="15.6"/>
  <cols>
    <col min="1" max="1" width="5.88671875" style="2" customWidth="1"/>
    <col min="2" max="2" width="43.109375" style="1" customWidth="1"/>
    <col min="3" max="7" width="9.88671875" style="1" customWidth="1"/>
    <col min="8" max="8" width="10.5546875" style="1" customWidth="1"/>
    <col min="9" max="16384" width="9.109375" style="1"/>
  </cols>
  <sheetData>
    <row r="2" spans="1:8" ht="53.25" customHeight="1">
      <c r="A2" s="78" t="s">
        <v>90</v>
      </c>
      <c r="B2" s="78"/>
      <c r="C2" s="78"/>
      <c r="D2" s="78"/>
      <c r="E2" s="78"/>
      <c r="F2" s="78"/>
      <c r="G2" s="78"/>
      <c r="H2" s="78"/>
    </row>
    <row r="3" spans="1:8" ht="18" thickBot="1">
      <c r="G3" s="86" t="s">
        <v>23</v>
      </c>
      <c r="H3" s="86"/>
    </row>
    <row r="4" spans="1:8" ht="40.5" customHeight="1" thickBot="1">
      <c r="A4" s="82" t="s">
        <v>26</v>
      </c>
      <c r="B4" s="84" t="s">
        <v>25</v>
      </c>
      <c r="C4" s="47" t="s">
        <v>83</v>
      </c>
      <c r="D4" s="60" t="s">
        <v>87</v>
      </c>
      <c r="E4" s="60" t="s">
        <v>87</v>
      </c>
      <c r="F4" s="61"/>
      <c r="G4" s="61"/>
      <c r="H4" s="62"/>
    </row>
    <row r="5" spans="1:8" s="3" customFormat="1" ht="32.25" customHeight="1" thickBot="1">
      <c r="A5" s="83"/>
      <c r="B5" s="85"/>
      <c r="C5" s="27">
        <v>2017</v>
      </c>
      <c r="D5" s="27">
        <v>2018</v>
      </c>
      <c r="E5" s="43">
        <v>2019</v>
      </c>
      <c r="F5" s="43">
        <v>2020</v>
      </c>
      <c r="G5" s="43">
        <v>2021</v>
      </c>
      <c r="H5" s="43" t="s">
        <v>84</v>
      </c>
    </row>
    <row r="6" spans="1:8" ht="67.5" customHeight="1">
      <c r="A6" s="6">
        <v>1</v>
      </c>
      <c r="B6" s="7" t="s">
        <v>1</v>
      </c>
      <c r="C6" s="29">
        <v>2394.7502000000004</v>
      </c>
      <c r="D6" s="29">
        <v>125.14</v>
      </c>
      <c r="E6" s="29">
        <f t="shared" ref="E6:E13" si="0">+D6*1.103</f>
        <v>138.02941999999999</v>
      </c>
      <c r="F6" s="29">
        <f t="shared" ref="F6:F13" si="1">+E6*1.104</f>
        <v>152.38447968</v>
      </c>
      <c r="G6" s="29">
        <f t="shared" ref="G6:G13" si="2">+F6*1.1</f>
        <v>167.622927648</v>
      </c>
      <c r="H6" s="29">
        <v>2134.2874611814736</v>
      </c>
    </row>
    <row r="7" spans="1:8" ht="58.5" customHeight="1">
      <c r="A7" s="6">
        <v>2</v>
      </c>
      <c r="B7" s="7" t="s">
        <v>2</v>
      </c>
      <c r="C7" s="29">
        <v>5742.7831999999999</v>
      </c>
      <c r="D7" s="29">
        <v>339.43700000000001</v>
      </c>
      <c r="E7" s="29">
        <f t="shared" si="0"/>
        <v>374.39901100000003</v>
      </c>
      <c r="F7" s="29">
        <f t="shared" si="1"/>
        <v>413.33650814400005</v>
      </c>
      <c r="G7" s="29">
        <f t="shared" si="2"/>
        <v>454.67015895840007</v>
      </c>
      <c r="H7" s="29">
        <v>5789.1651986659417</v>
      </c>
    </row>
    <row r="8" spans="1:8" ht="42.75" customHeight="1">
      <c r="A8" s="6">
        <v>3</v>
      </c>
      <c r="B8" s="7" t="s">
        <v>3</v>
      </c>
      <c r="C8" s="29">
        <v>11689.954599999999</v>
      </c>
      <c r="D8" s="29">
        <v>1126.6420000000001</v>
      </c>
      <c r="E8" s="29">
        <f t="shared" si="0"/>
        <v>1242.6861260000001</v>
      </c>
      <c r="F8" s="29">
        <f t="shared" si="1"/>
        <v>1371.9254831040003</v>
      </c>
      <c r="G8" s="29">
        <f t="shared" si="2"/>
        <v>1509.1180314144003</v>
      </c>
      <c r="H8" s="29">
        <v>19215.102236218776</v>
      </c>
    </row>
    <row r="9" spans="1:8" ht="82.5" customHeight="1">
      <c r="A9" s="6">
        <v>4</v>
      </c>
      <c r="B9" s="7" t="s">
        <v>24</v>
      </c>
      <c r="C9" s="29">
        <v>2313.8298999999997</v>
      </c>
      <c r="D9" s="29">
        <v>2576.2950000000001</v>
      </c>
      <c r="E9" s="29">
        <f t="shared" si="0"/>
        <v>2841.6533850000001</v>
      </c>
      <c r="F9" s="29">
        <f t="shared" si="1"/>
        <v>3137.1853370400004</v>
      </c>
      <c r="G9" s="29">
        <f t="shared" si="2"/>
        <v>3450.9038707440009</v>
      </c>
      <c r="H9" s="29">
        <v>43939.220990926362</v>
      </c>
    </row>
    <row r="10" spans="1:8" ht="45.75" customHeight="1">
      <c r="A10" s="6">
        <v>5</v>
      </c>
      <c r="B10" s="7" t="s">
        <v>8</v>
      </c>
      <c r="C10" s="29">
        <v>4957.0079999999998</v>
      </c>
      <c r="D10" s="29">
        <v>5799.2860000000001</v>
      </c>
      <c r="E10" s="29">
        <f t="shared" si="0"/>
        <v>6396.6124579999996</v>
      </c>
      <c r="F10" s="29">
        <f t="shared" si="1"/>
        <v>7061.8601536320002</v>
      </c>
      <c r="G10" s="29">
        <f t="shared" si="2"/>
        <v>7768.0461689952008</v>
      </c>
      <c r="H10" s="29">
        <v>98907.970222193238</v>
      </c>
    </row>
    <row r="11" spans="1:8" ht="38.25" customHeight="1">
      <c r="A11" s="6">
        <v>6</v>
      </c>
      <c r="B11" s="7" t="s">
        <v>10</v>
      </c>
      <c r="C11" s="29">
        <v>3935.3802000000001</v>
      </c>
      <c r="D11" s="29">
        <v>4411.085</v>
      </c>
      <c r="E11" s="29">
        <f t="shared" si="0"/>
        <v>4865.4267549999995</v>
      </c>
      <c r="F11" s="29">
        <f t="shared" si="1"/>
        <v>5371.4311375199995</v>
      </c>
      <c r="G11" s="29">
        <f t="shared" si="2"/>
        <v>5908.5742512719999</v>
      </c>
      <c r="H11" s="29">
        <v>75231.92748686015</v>
      </c>
    </row>
    <row r="12" spans="1:8" ht="38.25" customHeight="1">
      <c r="A12" s="6">
        <v>7</v>
      </c>
      <c r="B12" s="7" t="s">
        <v>17</v>
      </c>
      <c r="C12" s="29">
        <v>588.86919999999998</v>
      </c>
      <c r="D12" s="29">
        <v>610.40599999999995</v>
      </c>
      <c r="E12" s="29">
        <f t="shared" si="0"/>
        <v>673.27781799999991</v>
      </c>
      <c r="F12" s="29">
        <f t="shared" si="1"/>
        <v>743.29871107199995</v>
      </c>
      <c r="G12" s="29">
        <f t="shared" si="2"/>
        <v>817.62858217919995</v>
      </c>
      <c r="H12" s="29">
        <v>10410.595109716623</v>
      </c>
    </row>
    <row r="13" spans="1:8" ht="38.25" customHeight="1" thickBot="1">
      <c r="A13" s="22">
        <v>8</v>
      </c>
      <c r="B13" s="28" t="s">
        <v>18</v>
      </c>
      <c r="C13" s="30">
        <v>190.0351</v>
      </c>
      <c r="D13" s="30">
        <v>236.00899999999999</v>
      </c>
      <c r="E13" s="30">
        <f t="shared" si="0"/>
        <v>260.317927</v>
      </c>
      <c r="F13" s="30">
        <f t="shared" si="1"/>
        <v>287.39099140800005</v>
      </c>
      <c r="G13" s="30">
        <f t="shared" si="2"/>
        <v>316.13009054880007</v>
      </c>
      <c r="H13" s="30">
        <v>4025.1801935910062</v>
      </c>
    </row>
    <row r="14" spans="1:8" ht="27.75" customHeight="1" thickBot="1">
      <c r="A14" s="10"/>
      <c r="B14" s="25" t="s">
        <v>21</v>
      </c>
      <c r="C14" s="8">
        <f t="shared" ref="C14:G14" si="3">SUM(C6:C13)</f>
        <v>31812.610399999998</v>
      </c>
      <c r="D14" s="8">
        <f>(SUM(D6:D13))</f>
        <v>15224.299999999997</v>
      </c>
      <c r="E14" s="8">
        <f t="shared" si="3"/>
        <v>16792.402899999997</v>
      </c>
      <c r="F14" s="8">
        <f t="shared" si="3"/>
        <v>18538.812801599997</v>
      </c>
      <c r="G14" s="8">
        <f t="shared" si="3"/>
        <v>20392.694081760001</v>
      </c>
      <c r="H14" s="46">
        <v>259653.44889935356</v>
      </c>
    </row>
    <row r="15" spans="1:8" ht="30.75" hidden="1" customHeight="1" thickBot="1">
      <c r="A15" s="23"/>
      <c r="B15" s="24" t="s">
        <v>22</v>
      </c>
      <c r="C15" s="15">
        <v>133.30000000000001</v>
      </c>
      <c r="D15" s="15">
        <f>+D14*100/C14</f>
        <v>47.856179699104473</v>
      </c>
      <c r="E15" s="15">
        <f>+E14*100/D14</f>
        <v>110.30000000000001</v>
      </c>
      <c r="F15" s="15">
        <f t="shared" ref="F15:G15" si="4">+F14*100/E14</f>
        <v>110.39999999999999</v>
      </c>
      <c r="G15" s="15">
        <f t="shared" si="4"/>
        <v>110.00000000000001</v>
      </c>
      <c r="H15" s="45">
        <v>882.1</v>
      </c>
    </row>
    <row r="19" spans="5:5" hidden="1">
      <c r="E19" s="1">
        <v>1000</v>
      </c>
    </row>
  </sheetData>
  <mergeCells count="4">
    <mergeCell ref="A2:H2"/>
    <mergeCell ref="A4:A5"/>
    <mergeCell ref="B4:B5"/>
    <mergeCell ref="G3:H3"/>
  </mergeCells>
  <pageMargins left="0.27" right="0.15748031496062992" top="0.31496062992125984" bottom="0.23622047244094491" header="0.31496062992125984" footer="0.19685039370078741"/>
  <pageSetup paperSize="9" scale="91" orientation="portrait" horizontalDpi="180" verticalDpi="180" r:id="rId1"/>
  <ignoredErrors>
    <ignoredError sqref="C14 E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60" workbookViewId="0">
      <selection activeCell="P10" sqref="P10"/>
    </sheetView>
  </sheetViews>
  <sheetFormatPr defaultColWidth="9.109375" defaultRowHeight="15.6"/>
  <cols>
    <col min="1" max="1" width="5.88671875" style="2" customWidth="1"/>
    <col min="2" max="2" width="75.6640625" style="1" customWidth="1"/>
    <col min="3" max="3" width="17.88671875" style="1" customWidth="1"/>
    <col min="4" max="4" width="15.44140625" style="1" customWidth="1"/>
    <col min="5" max="8" width="12.6640625" style="1" customWidth="1"/>
    <col min="9" max="9" width="0" style="1" hidden="1" customWidth="1"/>
    <col min="10" max="16384" width="9.109375" style="1"/>
  </cols>
  <sheetData>
    <row r="1" spans="1:9">
      <c r="G1" s="77" t="s">
        <v>101</v>
      </c>
      <c r="H1" s="77"/>
    </row>
    <row r="2" spans="1:9" ht="45.75" customHeight="1">
      <c r="A2" s="87" t="s">
        <v>103</v>
      </c>
      <c r="B2" s="87"/>
      <c r="C2" s="87"/>
      <c r="D2" s="87"/>
      <c r="E2" s="87"/>
      <c r="F2" s="87"/>
      <c r="G2" s="87"/>
      <c r="H2" s="87"/>
    </row>
    <row r="3" spans="1:9" ht="18">
      <c r="G3" s="89" t="s">
        <v>23</v>
      </c>
      <c r="H3" s="89"/>
    </row>
    <row r="4" spans="1:9" ht="34.5" customHeight="1">
      <c r="A4" s="88" t="s">
        <v>26</v>
      </c>
      <c r="B4" s="79" t="s">
        <v>25</v>
      </c>
      <c r="C4" s="80" t="s">
        <v>93</v>
      </c>
      <c r="D4" s="81" t="s">
        <v>94</v>
      </c>
      <c r="E4" s="81" t="s">
        <v>91</v>
      </c>
      <c r="F4" s="81"/>
      <c r="G4" s="81"/>
      <c r="H4" s="81"/>
    </row>
    <row r="5" spans="1:9" s="3" customFormat="1" ht="37.5" customHeight="1">
      <c r="A5" s="88"/>
      <c r="B5" s="79"/>
      <c r="C5" s="80"/>
      <c r="D5" s="81"/>
      <c r="E5" s="75" t="s">
        <v>95</v>
      </c>
      <c r="F5" s="75" t="s">
        <v>96</v>
      </c>
      <c r="G5" s="75" t="s">
        <v>97</v>
      </c>
      <c r="H5" s="75" t="s">
        <v>100</v>
      </c>
    </row>
    <row r="6" spans="1:9" ht="33.75" customHeight="1">
      <c r="A6" s="65">
        <v>1</v>
      </c>
      <c r="B6" s="66" t="s">
        <v>29</v>
      </c>
      <c r="C6" s="67">
        <v>533.13220000000001</v>
      </c>
      <c r="D6" s="67">
        <f>+C6*40/100</f>
        <v>213.25288</v>
      </c>
      <c r="E6" s="67">
        <f>+D6*40/100</f>
        <v>85.301152000000002</v>
      </c>
      <c r="F6" s="67">
        <f>+E6*1.1</f>
        <v>93.831267200000013</v>
      </c>
      <c r="G6" s="67">
        <f>+F6*1.1</f>
        <v>103.21439392000002</v>
      </c>
      <c r="H6" s="67">
        <v>1034.8857593443474</v>
      </c>
    </row>
    <row r="7" spans="1:9" ht="37.5" customHeight="1">
      <c r="A7" s="65">
        <v>2</v>
      </c>
      <c r="B7" s="66" t="s">
        <v>1</v>
      </c>
      <c r="C7" s="67">
        <v>-46.716799999999694</v>
      </c>
      <c r="D7" s="67">
        <f>+C7*-350/100</f>
        <v>163.50879999999893</v>
      </c>
      <c r="E7" s="67">
        <f>+D7*110/100</f>
        <v>179.8596799999988</v>
      </c>
      <c r="F7" s="67">
        <f>+E7*1.106</f>
        <v>198.92480607999869</v>
      </c>
      <c r="G7" s="67">
        <f t="shared" ref="G7" si="0">+F7*1.103</f>
        <v>219.41406110623856</v>
      </c>
      <c r="H7" s="67">
        <v>2797.9766443350122</v>
      </c>
    </row>
    <row r="8" spans="1:9" ht="39.75" customHeight="1">
      <c r="A8" s="65">
        <v>3</v>
      </c>
      <c r="B8" s="66" t="s">
        <v>2</v>
      </c>
      <c r="C8" s="67">
        <v>183.8801999999996</v>
      </c>
      <c r="D8" s="67">
        <f>+C8*130/100</f>
        <v>239.0442599999995</v>
      </c>
      <c r="E8" s="67">
        <f>+D8*110/100</f>
        <v>262.94868599999944</v>
      </c>
      <c r="F8" s="67">
        <f>+E8*1.108</f>
        <v>291.34714408799942</v>
      </c>
      <c r="G8" s="67">
        <f t="shared" ref="G8" si="1">+F8*1.05</f>
        <v>305.91450129239939</v>
      </c>
      <c r="H8" s="67">
        <v>3067.2714234975183</v>
      </c>
    </row>
    <row r="9" spans="1:9">
      <c r="A9" s="65">
        <v>4</v>
      </c>
      <c r="B9" s="66" t="s">
        <v>3</v>
      </c>
      <c r="C9" s="67">
        <v>-285.77340000000004</v>
      </c>
      <c r="D9" s="67">
        <f>+C9*-50/100</f>
        <v>142.88670000000002</v>
      </c>
      <c r="E9" s="67">
        <f>+D9*1.2</f>
        <v>171.46404000000001</v>
      </c>
      <c r="F9" s="67">
        <f>+E9*1.2</f>
        <v>205.75684800000002</v>
      </c>
      <c r="G9" s="67">
        <f>+F9*1.2</f>
        <v>246.9082176</v>
      </c>
      <c r="H9" s="67">
        <v>2161.5897016770241</v>
      </c>
    </row>
    <row r="10" spans="1:9" ht="31.2">
      <c r="A10" s="65">
        <v>5</v>
      </c>
      <c r="B10" s="66" t="s">
        <v>4</v>
      </c>
      <c r="C10" s="67">
        <v>173.66089999999986</v>
      </c>
      <c r="D10" s="67">
        <f>+C10*110.2/100</f>
        <v>191.37431179999984</v>
      </c>
      <c r="E10" s="67">
        <f t="shared" ref="E10:G10" si="2">+D10*1.1</f>
        <v>210.51174297999984</v>
      </c>
      <c r="F10" s="67">
        <f t="shared" si="2"/>
        <v>231.56291727799984</v>
      </c>
      <c r="G10" s="67">
        <f t="shared" si="2"/>
        <v>254.71920900579985</v>
      </c>
      <c r="H10" s="67">
        <v>3204.2344082219242</v>
      </c>
    </row>
    <row r="11" spans="1:9">
      <c r="A11" s="65">
        <v>6</v>
      </c>
      <c r="B11" s="66" t="s">
        <v>5</v>
      </c>
      <c r="C11" s="67">
        <v>922.6257999999998</v>
      </c>
      <c r="D11" s="67">
        <f>+C11*50/100</f>
        <v>461.31289999999996</v>
      </c>
      <c r="E11" s="67">
        <f>+D11*0.9</f>
        <v>415.18160999999998</v>
      </c>
      <c r="F11" s="67">
        <f t="shared" ref="F11:G11" si="3">+E11*1.1</f>
        <v>456.699771</v>
      </c>
      <c r="G11" s="67">
        <f t="shared" si="3"/>
        <v>502.36974810000004</v>
      </c>
      <c r="H11" s="67">
        <v>6319.5486465064678</v>
      </c>
    </row>
    <row r="12" spans="1:9">
      <c r="A12" s="65">
        <v>7</v>
      </c>
      <c r="B12" s="66" t="s">
        <v>92</v>
      </c>
      <c r="C12" s="67">
        <v>584.64949999999999</v>
      </c>
      <c r="D12" s="67">
        <v>428.49506920000016</v>
      </c>
      <c r="E12" s="67">
        <v>352.61578036000014</v>
      </c>
      <c r="F12" s="67">
        <v>388.45995306544017</v>
      </c>
      <c r="G12" s="67">
        <v>427.965384675206</v>
      </c>
      <c r="H12" s="67">
        <v>4507.1367599960104</v>
      </c>
    </row>
    <row r="13" spans="1:9">
      <c r="A13" s="65">
        <v>8</v>
      </c>
      <c r="B13" s="66" t="s">
        <v>7</v>
      </c>
      <c r="C13" s="67">
        <v>1109.1972999999998</v>
      </c>
      <c r="D13" s="67">
        <f>+C13*30/100</f>
        <v>332.75918999999993</v>
      </c>
      <c r="E13" s="67">
        <f t="shared" ref="E13:G13" si="4">+D13*0.2</f>
        <v>66.551837999999989</v>
      </c>
      <c r="F13" s="67">
        <f t="shared" si="4"/>
        <v>13.310367599999999</v>
      </c>
      <c r="G13" s="67">
        <f t="shared" si="4"/>
        <v>2.6620735199999999</v>
      </c>
      <c r="H13" s="67">
        <v>0.66551667627294719</v>
      </c>
      <c r="I13" s="1">
        <v>1000</v>
      </c>
    </row>
    <row r="14" spans="1:9">
      <c r="A14" s="65">
        <v>9</v>
      </c>
      <c r="B14" s="66" t="s">
        <v>8</v>
      </c>
      <c r="C14" s="67">
        <v>671.18199999999979</v>
      </c>
      <c r="D14" s="67">
        <f>+C14*70/100</f>
        <v>469.82739999999984</v>
      </c>
      <c r="E14" s="67">
        <f t="shared" ref="E14:G14" si="5">+D14*1.05</f>
        <v>493.31876999999986</v>
      </c>
      <c r="F14" s="67">
        <f t="shared" si="5"/>
        <v>517.9847084999999</v>
      </c>
      <c r="G14" s="67">
        <f t="shared" si="5"/>
        <v>543.88394392499993</v>
      </c>
      <c r="H14" s="67">
        <v>5453.2873461455865</v>
      </c>
    </row>
    <row r="15" spans="1:9">
      <c r="A15" s="65">
        <v>10</v>
      </c>
      <c r="B15" s="66" t="s">
        <v>9</v>
      </c>
      <c r="C15" s="67">
        <v>-1566.5837000000006</v>
      </c>
      <c r="D15" s="67">
        <f>+C15*20/100</f>
        <v>-313.31674000000015</v>
      </c>
      <c r="E15" s="67">
        <f>+D15*-5/100</f>
        <v>15.665837000000009</v>
      </c>
      <c r="F15" s="67">
        <f t="shared" ref="F15:G15" si="6">+E15*0.9</f>
        <v>14.099253300000008</v>
      </c>
      <c r="G15" s="67">
        <f t="shared" si="6"/>
        <v>12.689327970000008</v>
      </c>
      <c r="H15" s="67">
        <v>65.042895257812276</v>
      </c>
    </row>
    <row r="16" spans="1:9">
      <c r="A16" s="65">
        <v>11</v>
      </c>
      <c r="B16" s="66" t="s">
        <v>10</v>
      </c>
      <c r="C16" s="67">
        <v>1564.2921999999999</v>
      </c>
      <c r="D16" s="67">
        <f>+C16*70/100</f>
        <v>1095.0045399999999</v>
      </c>
      <c r="E16" s="67">
        <f>+D16*100.3/100</f>
        <v>1098.2895536199999</v>
      </c>
      <c r="F16" s="67">
        <f t="shared" ref="F16:G16" si="7">+E16*100.4/100</f>
        <v>1102.68271183448</v>
      </c>
      <c r="G16" s="67">
        <f t="shared" si="7"/>
        <v>1107.093442681818</v>
      </c>
      <c r="H16" s="67">
        <v>9017.6658941950118</v>
      </c>
    </row>
    <row r="17" spans="1:8">
      <c r="A17" s="65">
        <v>12</v>
      </c>
      <c r="B17" s="66" t="s">
        <v>11</v>
      </c>
      <c r="C17" s="67">
        <v>-529.65570000000025</v>
      </c>
      <c r="D17" s="67">
        <f>+C17*50/100</f>
        <v>-264.82785000000013</v>
      </c>
      <c r="E17" s="67">
        <f>+D17*-30/100</f>
        <v>79.448355000000035</v>
      </c>
      <c r="F17" s="67">
        <f t="shared" ref="F17:G17" si="8">+E17*1.104</f>
        <v>87.710983920000047</v>
      </c>
      <c r="G17" s="67">
        <f t="shared" si="8"/>
        <v>96.832926247680064</v>
      </c>
      <c r="H17" s="67">
        <v>1240.438095415434</v>
      </c>
    </row>
    <row r="18" spans="1:8">
      <c r="A18" s="65">
        <v>13</v>
      </c>
      <c r="B18" s="66" t="s">
        <v>12</v>
      </c>
      <c r="C18" s="67">
        <v>3.5507</v>
      </c>
      <c r="D18" s="67">
        <f>+C18*1.102</f>
        <v>3.9128714000000002</v>
      </c>
      <c r="E18" s="67">
        <f>+D18*1.103</f>
        <v>4.3158971542</v>
      </c>
      <c r="F18" s="67">
        <f t="shared" ref="F18:G18" si="9">+E18*1.104</f>
        <v>4.7647504582368008</v>
      </c>
      <c r="G18" s="67">
        <f t="shared" si="9"/>
        <v>5.2602845058934289</v>
      </c>
      <c r="H18" s="67">
        <v>67.38469595707474</v>
      </c>
    </row>
    <row r="19" spans="1:8">
      <c r="A19" s="65">
        <v>14</v>
      </c>
      <c r="B19" s="66" t="s">
        <v>13</v>
      </c>
      <c r="C19" s="67">
        <v>-1.5866999999999933</v>
      </c>
      <c r="D19" s="67">
        <f>+C19*-50/100</f>
        <v>0.79334999999999667</v>
      </c>
      <c r="E19" s="67">
        <f>+D19*1.103</f>
        <v>0.87506504999999635</v>
      </c>
      <c r="F19" s="67">
        <f t="shared" ref="F19:G19" si="10">+E19*1.104</f>
        <v>0.96607181519999608</v>
      </c>
      <c r="G19" s="67">
        <f t="shared" si="10"/>
        <v>1.0665432839807958</v>
      </c>
      <c r="H19" s="67">
        <v>13.662510998328495</v>
      </c>
    </row>
    <row r="20" spans="1:8">
      <c r="A20" s="65">
        <v>15</v>
      </c>
      <c r="B20" s="66" t="s">
        <v>14</v>
      </c>
      <c r="C20" s="67">
        <v>166.08910000000014</v>
      </c>
      <c r="D20" s="67">
        <f>+C20*1.102</f>
        <v>183.03018820000017</v>
      </c>
      <c r="E20" s="67">
        <f t="shared" ref="E20:G20" si="11">+D20*0.7</f>
        <v>128.12113174000012</v>
      </c>
      <c r="F20" s="67">
        <f t="shared" si="11"/>
        <v>89.684792218000084</v>
      </c>
      <c r="G20" s="67">
        <f t="shared" si="11"/>
        <v>62.779354552600054</v>
      </c>
      <c r="H20" s="67">
        <v>138.04058261830249</v>
      </c>
    </row>
    <row r="21" spans="1:8">
      <c r="A21" s="65">
        <v>16</v>
      </c>
      <c r="B21" s="66" t="s">
        <v>15</v>
      </c>
      <c r="C21" s="67">
        <v>-265.25539999999955</v>
      </c>
      <c r="D21" s="67">
        <f>+C21*50/100</f>
        <v>-132.62769999999978</v>
      </c>
      <c r="E21" s="67">
        <f>+D21*-40/100</f>
        <v>53.051079999999914</v>
      </c>
      <c r="F21" s="67">
        <f t="shared" ref="F21:G21" si="12">+E21*1.1</f>
        <v>58.356187999999911</v>
      </c>
      <c r="G21" s="67">
        <f t="shared" si="12"/>
        <v>64.19180679999991</v>
      </c>
      <c r="H21" s="67">
        <v>807.49935145178017</v>
      </c>
    </row>
    <row r="22" spans="1:8">
      <c r="A22" s="65">
        <v>17</v>
      </c>
      <c r="B22" s="66" t="s">
        <v>16</v>
      </c>
      <c r="C22" s="67">
        <v>39.378699999999995</v>
      </c>
      <c r="D22" s="67">
        <f>+C22*1.102</f>
        <v>43.395327399999999</v>
      </c>
      <c r="E22" s="67">
        <f>+D22*1.103</f>
        <v>47.865046122199999</v>
      </c>
      <c r="F22" s="67">
        <f t="shared" ref="F22:G22" si="13">+E22*1.104</f>
        <v>52.843010918908803</v>
      </c>
      <c r="G22" s="67">
        <f t="shared" si="13"/>
        <v>58.338684054475323</v>
      </c>
      <c r="H22" s="67">
        <v>747.32354935220053</v>
      </c>
    </row>
    <row r="23" spans="1:8">
      <c r="A23" s="65">
        <v>18</v>
      </c>
      <c r="B23" s="66" t="s">
        <v>17</v>
      </c>
      <c r="C23" s="67">
        <v>-56.528800000000047</v>
      </c>
      <c r="D23" s="67">
        <f>+C23*-60/100</f>
        <v>33.917280000000027</v>
      </c>
      <c r="E23" s="67">
        <f>+D23*1.103</f>
        <v>37.410759840000026</v>
      </c>
      <c r="F23" s="67">
        <f t="shared" ref="F23:G23" si="14">+E23*1.104</f>
        <v>41.301478863360032</v>
      </c>
      <c r="G23" s="67">
        <f t="shared" si="14"/>
        <v>45.596832665149478</v>
      </c>
      <c r="H23" s="67">
        <v>584.09933955176075</v>
      </c>
    </row>
    <row r="24" spans="1:8">
      <c r="A24" s="65">
        <v>19</v>
      </c>
      <c r="B24" s="66" t="s">
        <v>18</v>
      </c>
      <c r="C24" s="67">
        <v>-15.681900000000013</v>
      </c>
      <c r="D24" s="67">
        <f>+C24*-70/100</f>
        <v>10.977330000000009</v>
      </c>
      <c r="E24" s="67">
        <f>+D24*1.103</f>
        <v>12.107994990000011</v>
      </c>
      <c r="F24" s="67">
        <f t="shared" ref="F24:G24" si="15">+E24*1.103</f>
        <v>13.355118473970011</v>
      </c>
      <c r="G24" s="67">
        <f t="shared" si="15"/>
        <v>14.730695676788923</v>
      </c>
      <c r="H24" s="67">
        <v>187.84640442211955</v>
      </c>
    </row>
    <row r="25" spans="1:8" ht="31.2">
      <c r="A25" s="65">
        <v>20</v>
      </c>
      <c r="B25" s="66" t="s">
        <v>19</v>
      </c>
      <c r="C25" s="67">
        <v>138.14559999999892</v>
      </c>
      <c r="D25" s="67">
        <f>+C25*101/100</f>
        <v>139.52705599999891</v>
      </c>
      <c r="E25" s="67">
        <f>+D25*0.58</f>
        <v>80.925692479999356</v>
      </c>
      <c r="F25" s="67">
        <f t="shared" ref="F25:G25" si="16">+E25*1.104</f>
        <v>89.341964497919292</v>
      </c>
      <c r="G25" s="67">
        <f t="shared" si="16"/>
        <v>98.633528805702909</v>
      </c>
      <c r="H25" s="67">
        <v>1263.5039687110634</v>
      </c>
    </row>
    <row r="26" spans="1:8">
      <c r="A26" s="65">
        <v>21</v>
      </c>
      <c r="B26" s="66" t="s">
        <v>20</v>
      </c>
      <c r="C26" s="67">
        <v>-145.81169999999707</v>
      </c>
      <c r="D26" s="67">
        <f>+C26*-40/100</f>
        <v>58.324679999998828</v>
      </c>
      <c r="E26" s="67">
        <f>+D26*1.1</f>
        <v>64.157147999998713</v>
      </c>
      <c r="F26" s="67">
        <f t="shared" ref="F26:G26" si="17">+E26*1.104</f>
        <v>70.829491391998587</v>
      </c>
      <c r="G26" s="67">
        <f t="shared" si="17"/>
        <v>78.195758496766445</v>
      </c>
      <c r="H26" s="67">
        <v>1001.6943770881661</v>
      </c>
    </row>
    <row r="27" spans="1:8" ht="22.5" customHeight="1">
      <c r="A27" s="68"/>
      <c r="B27" s="69" t="s">
        <v>21</v>
      </c>
      <c r="C27" s="70">
        <v>3176.1901000000003</v>
      </c>
      <c r="D27" s="70">
        <f>SUM(D6:D26)</f>
        <v>3500.571843999996</v>
      </c>
      <c r="E27" s="70">
        <f t="shared" ref="E27:G27" si="18">SUM(E6:E26)</f>
        <v>3859.9868603363961</v>
      </c>
      <c r="F27" s="70">
        <f t="shared" si="18"/>
        <v>4023.8135985035115</v>
      </c>
      <c r="G27" s="70">
        <f t="shared" si="18"/>
        <v>4252.4607188854998</v>
      </c>
      <c r="H27" s="71">
        <v>43680.797871419214</v>
      </c>
    </row>
    <row r="28" spans="1:8" s="2" customFormat="1" ht="35.25" hidden="1" customHeight="1" thickBot="1">
      <c r="A28" s="59"/>
      <c r="B28" s="18" t="s">
        <v>28</v>
      </c>
      <c r="C28" s="14"/>
      <c r="D28" s="15">
        <f>+D27/C27*100</f>
        <v>110.21291968638765</v>
      </c>
      <c r="E28" s="15">
        <f t="shared" ref="E28:G28" si="19">+E27/D27*100</f>
        <v>110.26732295046135</v>
      </c>
      <c r="F28" s="15">
        <f t="shared" si="19"/>
        <v>104.24423046229848</v>
      </c>
      <c r="G28" s="15">
        <f t="shared" si="19"/>
        <v>105.68234871682485</v>
      </c>
      <c r="H28" s="45">
        <v>845.862187641638</v>
      </c>
    </row>
    <row r="30" spans="1:8" s="13" customFormat="1" hidden="1">
      <c r="D30" s="13">
        <v>110.162951191123</v>
      </c>
      <c r="E30" s="13">
        <v>110.3</v>
      </c>
      <c r="F30" s="13">
        <v>110.40000000000002</v>
      </c>
      <c r="G30" s="13">
        <v>109.99999999999997</v>
      </c>
    </row>
  </sheetData>
  <mergeCells count="8">
    <mergeCell ref="G1:H1"/>
    <mergeCell ref="A2:H2"/>
    <mergeCell ref="B4:B5"/>
    <mergeCell ref="A4:A5"/>
    <mergeCell ref="G3:H3"/>
    <mergeCell ref="C4:C5"/>
    <mergeCell ref="E4:H4"/>
    <mergeCell ref="D4:D5"/>
  </mergeCells>
  <pageMargins left="0.59055118110236227" right="0.59055118110236227" top="0.78740157480314965" bottom="0.78740157480314965" header="0.31496062992125984" footer="0.19685039370078741"/>
  <pageSetup paperSize="9" scale="7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workbookViewId="0">
      <selection activeCell="C4" sqref="C4:C5"/>
    </sheetView>
  </sheetViews>
  <sheetFormatPr defaultColWidth="9.109375" defaultRowHeight="15.6"/>
  <cols>
    <col min="1" max="1" width="5.88671875" style="2" customWidth="1"/>
    <col min="2" max="2" width="45.5546875" style="1" customWidth="1"/>
    <col min="3" max="3" width="9.33203125" style="1" customWidth="1"/>
    <col min="4" max="7" width="7.88671875" style="1" customWidth="1"/>
    <col min="8" max="8" width="11.33203125" style="1" customWidth="1"/>
    <col min="9" max="9" width="0" style="1" hidden="1" customWidth="1"/>
    <col min="10" max="16384" width="9.109375" style="1"/>
  </cols>
  <sheetData>
    <row r="2" spans="1:9" ht="62.25" customHeight="1">
      <c r="A2" s="78" t="s">
        <v>89</v>
      </c>
      <c r="B2" s="78"/>
      <c r="C2" s="78"/>
      <c r="D2" s="78"/>
      <c r="E2" s="78"/>
      <c r="F2" s="78"/>
      <c r="G2" s="78"/>
      <c r="H2" s="78"/>
    </row>
    <row r="3" spans="1:9" ht="25.5" customHeight="1" thickBot="1">
      <c r="G3" s="95" t="s">
        <v>23</v>
      </c>
      <c r="H3" s="95"/>
    </row>
    <row r="4" spans="1:9" ht="44.25" customHeight="1" thickBot="1">
      <c r="A4" s="90" t="s">
        <v>26</v>
      </c>
      <c r="B4" s="84" t="s">
        <v>25</v>
      </c>
      <c r="C4" s="96" t="s">
        <v>86</v>
      </c>
      <c r="D4" s="92" t="s">
        <v>85</v>
      </c>
      <c r="E4" s="93"/>
      <c r="F4" s="93"/>
      <c r="G4" s="93"/>
      <c r="H4" s="94"/>
    </row>
    <row r="5" spans="1:9" s="3" customFormat="1" ht="37.5" customHeight="1" thickBot="1">
      <c r="A5" s="91"/>
      <c r="B5" s="85"/>
      <c r="C5" s="97"/>
      <c r="D5" s="27">
        <v>2018</v>
      </c>
      <c r="E5" s="27">
        <v>2019</v>
      </c>
      <c r="F5" s="27">
        <v>2020</v>
      </c>
      <c r="G5" s="27">
        <v>2021</v>
      </c>
      <c r="H5" s="27" t="s">
        <v>84</v>
      </c>
    </row>
    <row r="6" spans="1:9" ht="61.5" customHeight="1">
      <c r="A6" s="11">
        <v>1</v>
      </c>
      <c r="B6" s="7" t="s">
        <v>1</v>
      </c>
      <c r="C6" s="4">
        <v>-46.716799999999694</v>
      </c>
      <c r="D6" s="5">
        <v>8.1754399999999467</v>
      </c>
      <c r="E6" s="5">
        <v>8.9929839999999412</v>
      </c>
      <c r="F6" s="5">
        <v>9.9462403039999359</v>
      </c>
      <c r="G6" s="5">
        <v>10.97070305531193</v>
      </c>
      <c r="H6" s="20">
        <v>139.89883221675063</v>
      </c>
      <c r="I6" s="1">
        <f>5/100</f>
        <v>0.05</v>
      </c>
    </row>
    <row r="7" spans="1:9" ht="53.25" customHeight="1">
      <c r="A7" s="11">
        <f>+A6+1</f>
        <v>2</v>
      </c>
      <c r="B7" s="7" t="s">
        <v>2</v>
      </c>
      <c r="C7" s="4">
        <v>183.8801999999996</v>
      </c>
      <c r="D7" s="5">
        <v>11.952212999999976</v>
      </c>
      <c r="E7" s="5">
        <v>13.147434299999972</v>
      </c>
      <c r="F7" s="5">
        <v>14.567357204399972</v>
      </c>
      <c r="G7" s="5">
        <v>15.295725064619971</v>
      </c>
      <c r="H7" s="20">
        <v>153.36357117487594</v>
      </c>
      <c r="I7" s="1">
        <f>5/100</f>
        <v>0.05</v>
      </c>
    </row>
    <row r="8" spans="1:9" ht="43.5" customHeight="1">
      <c r="A8" s="11">
        <f t="shared" ref="A8:A13" si="0">+A7+1</f>
        <v>3</v>
      </c>
      <c r="B8" s="7" t="s">
        <v>3</v>
      </c>
      <c r="C8" s="4">
        <v>-285.77340000000004</v>
      </c>
      <c r="D8" s="5">
        <v>12.859803000000001</v>
      </c>
      <c r="E8" s="5">
        <v>15.4317636</v>
      </c>
      <c r="F8" s="5">
        <v>18.518116320000001</v>
      </c>
      <c r="G8" s="5">
        <v>22.221739583999998</v>
      </c>
      <c r="H8" s="20">
        <v>194.54307315093217</v>
      </c>
      <c r="I8" s="1">
        <f>9/100</f>
        <v>0.09</v>
      </c>
    </row>
    <row r="9" spans="1:9" ht="61.5" customHeight="1">
      <c r="A9" s="11">
        <f t="shared" si="0"/>
        <v>4</v>
      </c>
      <c r="B9" s="7" t="s">
        <v>4</v>
      </c>
      <c r="C9" s="4">
        <v>173.66089999999986</v>
      </c>
      <c r="D9" s="5">
        <f>+C9*110.2/100</f>
        <v>191.37431179999984</v>
      </c>
      <c r="E9" s="5">
        <f t="shared" ref="E9:G9" si="1">+D9*1.1</f>
        <v>210.51174297999984</v>
      </c>
      <c r="F9" s="5">
        <f t="shared" si="1"/>
        <v>231.56291727799984</v>
      </c>
      <c r="G9" s="5">
        <f t="shared" si="1"/>
        <v>254.71920900579985</v>
      </c>
      <c r="H9" s="20">
        <v>3204.2344082219242</v>
      </c>
    </row>
    <row r="10" spans="1:9" ht="45" customHeight="1">
      <c r="A10" s="11">
        <f t="shared" si="0"/>
        <v>5</v>
      </c>
      <c r="B10" s="7" t="s">
        <v>8</v>
      </c>
      <c r="C10" s="4">
        <v>671.18199999999979</v>
      </c>
      <c r="D10" s="5">
        <f>+C10*70/100</f>
        <v>469.82739999999984</v>
      </c>
      <c r="E10" s="5">
        <f t="shared" ref="E10:G10" si="2">+D10*1.05</f>
        <v>493.31876999999986</v>
      </c>
      <c r="F10" s="5">
        <f t="shared" si="2"/>
        <v>517.9847084999999</v>
      </c>
      <c r="G10" s="5">
        <f t="shared" si="2"/>
        <v>543.88394392499993</v>
      </c>
      <c r="H10" s="20">
        <v>5453.2873461455865</v>
      </c>
    </row>
    <row r="11" spans="1:9" ht="41.25" customHeight="1">
      <c r="A11" s="11">
        <f t="shared" si="0"/>
        <v>6</v>
      </c>
      <c r="B11" s="7" t="s">
        <v>10</v>
      </c>
      <c r="C11" s="4">
        <v>1564.2921999999999</v>
      </c>
      <c r="D11" s="5">
        <f>+C11*70/100</f>
        <v>1095.0045399999999</v>
      </c>
      <c r="E11" s="5">
        <f>+D11*100.3/100</f>
        <v>1098.2895536199999</v>
      </c>
      <c r="F11" s="5">
        <f t="shared" ref="F11:G11" si="3">+E11*100.4/100</f>
        <v>1102.68271183448</v>
      </c>
      <c r="G11" s="5">
        <f t="shared" si="3"/>
        <v>1107.093442681818</v>
      </c>
      <c r="H11" s="20">
        <v>9017.6658941950118</v>
      </c>
    </row>
    <row r="12" spans="1:9" ht="36" customHeight="1">
      <c r="A12" s="11">
        <f t="shared" si="0"/>
        <v>7</v>
      </c>
      <c r="B12" s="7" t="s">
        <v>17</v>
      </c>
      <c r="C12" s="4">
        <v>-56.528800000000047</v>
      </c>
      <c r="D12" s="5">
        <f>+C12*-60/100</f>
        <v>33.917280000000027</v>
      </c>
      <c r="E12" s="5">
        <f>+D12*1.103</f>
        <v>37.410759840000026</v>
      </c>
      <c r="F12" s="5">
        <f t="shared" ref="F12:G12" si="4">+E12*1.104</f>
        <v>41.301478863360032</v>
      </c>
      <c r="G12" s="5">
        <f t="shared" si="4"/>
        <v>45.596832665149478</v>
      </c>
      <c r="H12" s="20">
        <v>584.09933955176075</v>
      </c>
    </row>
    <row r="13" spans="1:9" ht="36" customHeight="1" thickBot="1">
      <c r="A13" s="11">
        <f t="shared" si="0"/>
        <v>8</v>
      </c>
      <c r="B13" s="28" t="s">
        <v>18</v>
      </c>
      <c r="C13" s="16">
        <v>-15.681900000000013</v>
      </c>
      <c r="D13" s="17">
        <f>+C13*-70/100</f>
        <v>10.977330000000009</v>
      </c>
      <c r="E13" s="17">
        <f>+D13*1.103</f>
        <v>12.107994990000011</v>
      </c>
      <c r="F13" s="17">
        <f t="shared" ref="F13:G13" si="5">+E13*1.103</f>
        <v>13.355118473970011</v>
      </c>
      <c r="G13" s="17">
        <f t="shared" si="5"/>
        <v>14.730695676788923</v>
      </c>
      <c r="H13" s="21">
        <v>187.84640442211955</v>
      </c>
    </row>
    <row r="14" spans="1:9" ht="27.75" customHeight="1" thickBot="1">
      <c r="A14" s="59"/>
      <c r="B14" s="19" t="s">
        <v>21</v>
      </c>
      <c r="C14" s="26">
        <f t="shared" ref="C14:G14" si="6">SUM(C6:C13)</f>
        <v>2188.3143999999993</v>
      </c>
      <c r="D14" s="8">
        <f t="shared" si="6"/>
        <v>1834.0883177999997</v>
      </c>
      <c r="E14" s="8">
        <f t="shared" si="6"/>
        <v>1889.2110033299996</v>
      </c>
      <c r="F14" s="8">
        <f t="shared" si="6"/>
        <v>1949.9186487782094</v>
      </c>
      <c r="G14" s="8">
        <f t="shared" si="6"/>
        <v>2014.5122916584883</v>
      </c>
      <c r="H14" s="46">
        <v>18934.93886907896</v>
      </c>
    </row>
    <row r="15" spans="1:9" s="2" customFormat="1" ht="35.25" hidden="1" customHeight="1" thickBot="1">
      <c r="A15" s="12"/>
      <c r="B15" s="18" t="s">
        <v>28</v>
      </c>
      <c r="C15" s="14"/>
      <c r="D15" s="15">
        <f>+D14/C14*100</f>
        <v>83.812834106470262</v>
      </c>
      <c r="E15" s="15">
        <f t="shared" ref="E15:G15" si="7">+E14/D14*100</f>
        <v>103.00545426275436</v>
      </c>
      <c r="F15" s="15">
        <f t="shared" si="7"/>
        <v>103.21338618826613</v>
      </c>
      <c r="G15" s="15">
        <f t="shared" si="7"/>
        <v>103.31263270499784</v>
      </c>
      <c r="H15" s="5">
        <v>829.7631300679675</v>
      </c>
    </row>
    <row r="17" spans="4:7" s="13" customFormat="1" hidden="1">
      <c r="D17" s="13">
        <v>110.162951191123</v>
      </c>
      <c r="E17" s="13">
        <v>110.3</v>
      </c>
      <c r="F17" s="13">
        <v>110.40000000000002</v>
      </c>
      <c r="G17" s="13">
        <v>109.99999999999997</v>
      </c>
    </row>
  </sheetData>
  <mergeCells count="6">
    <mergeCell ref="A2:H2"/>
    <mergeCell ref="A4:A5"/>
    <mergeCell ref="B4:B5"/>
    <mergeCell ref="D4:H4"/>
    <mergeCell ref="G3:H3"/>
    <mergeCell ref="C4:C5"/>
  </mergeCells>
  <pageMargins left="0.38" right="0.35" top="0.31496062992125984" bottom="0.23622047244094491" header="0.31496062992125984" footer="0.19685039370078741"/>
  <pageSetup paperSize="9" scale="92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workbookViewId="0">
      <pane xSplit="2" ySplit="5" topLeftCell="C27" activePane="bottomRight" state="frozen"/>
      <selection pane="topRight" activeCell="C1" sqref="C1"/>
      <selection pane="bottomLeft" activeCell="A6" sqref="A6"/>
      <selection pane="bottomRight" sqref="A1:H1048576"/>
    </sheetView>
  </sheetViews>
  <sheetFormatPr defaultColWidth="9.109375" defaultRowHeight="15.6"/>
  <cols>
    <col min="1" max="1" width="5.88671875" style="2" customWidth="1"/>
    <col min="2" max="2" width="48.6640625" style="1" customWidth="1"/>
    <col min="3" max="3" width="12.109375" style="1" customWidth="1"/>
    <col min="4" max="7" width="10.6640625" style="1" customWidth="1"/>
    <col min="8" max="8" width="11.6640625" style="1" customWidth="1"/>
    <col min="9" max="16384" width="9.109375" style="1"/>
  </cols>
  <sheetData>
    <row r="2" spans="1:8" ht="40.5" customHeight="1">
      <c r="A2" s="78" t="s">
        <v>88</v>
      </c>
      <c r="B2" s="78"/>
      <c r="C2" s="78"/>
      <c r="D2" s="78"/>
      <c r="E2" s="78"/>
      <c r="F2" s="78"/>
      <c r="G2" s="78"/>
      <c r="H2" s="78"/>
    </row>
    <row r="3" spans="1:8" ht="18" thickBot="1">
      <c r="G3" s="95" t="s">
        <v>23</v>
      </c>
      <c r="H3" s="95"/>
    </row>
    <row r="4" spans="1:8" ht="34.5" customHeight="1" thickBot="1">
      <c r="A4" s="98" t="s">
        <v>26</v>
      </c>
      <c r="B4" s="100" t="s">
        <v>82</v>
      </c>
      <c r="C4" s="102" t="s">
        <v>27</v>
      </c>
      <c r="D4" s="92" t="s">
        <v>81</v>
      </c>
      <c r="E4" s="93"/>
      <c r="F4" s="93"/>
      <c r="G4" s="93"/>
      <c r="H4" s="94"/>
    </row>
    <row r="5" spans="1:8" s="3" customFormat="1" ht="41.25" customHeight="1" thickBot="1">
      <c r="A5" s="99"/>
      <c r="B5" s="101"/>
      <c r="C5" s="103"/>
      <c r="D5" s="31">
        <v>2018</v>
      </c>
      <c r="E5" s="27">
        <v>2019</v>
      </c>
      <c r="F5" s="27">
        <v>2020</v>
      </c>
      <c r="G5" s="27">
        <v>2021</v>
      </c>
      <c r="H5" s="27" t="s">
        <v>84</v>
      </c>
    </row>
    <row r="6" spans="1:8" ht="27.6">
      <c r="A6" s="40" t="s">
        <v>57</v>
      </c>
      <c r="B6" s="34" t="s">
        <v>30</v>
      </c>
      <c r="C6" s="48">
        <v>60407.129000000001</v>
      </c>
      <c r="D6" s="48">
        <v>70658.45</v>
      </c>
      <c r="E6" s="49">
        <v>77724.294999999998</v>
      </c>
      <c r="F6" s="49">
        <v>85496.724500000011</v>
      </c>
      <c r="G6" s="49">
        <v>94046.396950000038</v>
      </c>
      <c r="H6" s="49">
        <v>1183054.47890122</v>
      </c>
    </row>
    <row r="7" spans="1:8">
      <c r="A7" s="41" t="s">
        <v>58</v>
      </c>
      <c r="B7" s="35" t="s">
        <v>31</v>
      </c>
      <c r="C7" s="50">
        <v>44697.22</v>
      </c>
      <c r="D7" s="50">
        <v>52589.77</v>
      </c>
      <c r="E7" s="51">
        <v>57848.74700000001</v>
      </c>
      <c r="F7" s="51">
        <v>63633.621700000011</v>
      </c>
      <c r="G7" s="51">
        <v>69996.983870000025</v>
      </c>
      <c r="H7" s="51">
        <v>880525.44236230815</v>
      </c>
    </row>
    <row r="8" spans="1:8">
      <c r="A8" s="41" t="s">
        <v>59</v>
      </c>
      <c r="B8" s="35" t="s">
        <v>32</v>
      </c>
      <c r="C8" s="50">
        <v>0</v>
      </c>
      <c r="D8" s="50">
        <v>0</v>
      </c>
      <c r="E8" s="51">
        <v>0</v>
      </c>
      <c r="F8" s="51">
        <v>0</v>
      </c>
      <c r="G8" s="51">
        <v>0</v>
      </c>
      <c r="H8" s="51">
        <v>0</v>
      </c>
    </row>
    <row r="9" spans="1:8">
      <c r="A9" s="41" t="s">
        <v>60</v>
      </c>
      <c r="B9" s="35" t="s">
        <v>33</v>
      </c>
      <c r="C9" s="50">
        <v>15414.148999999999</v>
      </c>
      <c r="D9" s="50">
        <v>16489.039000000001</v>
      </c>
      <c r="E9" s="51">
        <v>18137.942900000002</v>
      </c>
      <c r="F9" s="51">
        <v>19951.737190000003</v>
      </c>
      <c r="G9" s="51">
        <v>21946.910909000006</v>
      </c>
      <c r="H9" s="51">
        <v>276080.65902559285</v>
      </c>
    </row>
    <row r="10" spans="1:8">
      <c r="A10" s="41" t="s">
        <v>61</v>
      </c>
      <c r="B10" s="35" t="s">
        <v>34</v>
      </c>
      <c r="C10" s="50">
        <v>293.04000000000002</v>
      </c>
      <c r="D10" s="50">
        <v>281.44099999999997</v>
      </c>
      <c r="E10" s="51">
        <v>309.58510000000001</v>
      </c>
      <c r="F10" s="51">
        <v>340.54361000000006</v>
      </c>
      <c r="G10" s="51">
        <v>374.59797100000009</v>
      </c>
      <c r="H10" s="51">
        <v>4712.2465267273519</v>
      </c>
    </row>
    <row r="11" spans="1:8">
      <c r="A11" s="41" t="s">
        <v>62</v>
      </c>
      <c r="B11" s="35" t="s">
        <v>35</v>
      </c>
      <c r="C11" s="50">
        <v>2.72</v>
      </c>
      <c r="D11" s="50">
        <v>1298.2</v>
      </c>
      <c r="E11" s="51">
        <v>1428.02</v>
      </c>
      <c r="F11" s="51">
        <v>1570.8220000000003</v>
      </c>
      <c r="G11" s="51">
        <v>1727.9042000000004</v>
      </c>
      <c r="H11" s="51">
        <v>21736.130986592038</v>
      </c>
    </row>
    <row r="12" spans="1:8">
      <c r="A12" s="41" t="s">
        <v>63</v>
      </c>
      <c r="B12" s="35" t="s">
        <v>36</v>
      </c>
      <c r="C12" s="50">
        <v>0</v>
      </c>
      <c r="D12" s="50">
        <v>0</v>
      </c>
      <c r="E12" s="51">
        <v>0</v>
      </c>
      <c r="F12" s="51">
        <v>0</v>
      </c>
      <c r="G12" s="51">
        <v>0</v>
      </c>
      <c r="H12" s="51">
        <v>0</v>
      </c>
    </row>
    <row r="13" spans="1:8">
      <c r="A13" s="41" t="s">
        <v>64</v>
      </c>
      <c r="B13" s="35" t="s">
        <v>37</v>
      </c>
      <c r="C13" s="50">
        <v>0</v>
      </c>
      <c r="D13" s="50">
        <v>0</v>
      </c>
      <c r="E13" s="51">
        <v>0</v>
      </c>
      <c r="F13" s="51">
        <v>0</v>
      </c>
      <c r="G13" s="51">
        <v>0</v>
      </c>
      <c r="H13" s="51">
        <v>0</v>
      </c>
    </row>
    <row r="14" spans="1:8" ht="27.6">
      <c r="A14" s="41" t="s">
        <v>65</v>
      </c>
      <c r="B14" s="35" t="s">
        <v>38</v>
      </c>
      <c r="C14" s="50">
        <v>0</v>
      </c>
      <c r="D14" s="50">
        <v>0</v>
      </c>
      <c r="E14" s="51">
        <v>0</v>
      </c>
      <c r="F14" s="51">
        <v>0</v>
      </c>
      <c r="G14" s="51">
        <v>0</v>
      </c>
      <c r="H14" s="51">
        <v>0</v>
      </c>
    </row>
    <row r="15" spans="1:8">
      <c r="A15" s="40" t="s">
        <v>66</v>
      </c>
      <c r="B15" s="36" t="s">
        <v>39</v>
      </c>
      <c r="C15" s="48">
        <v>2800.7930000000001</v>
      </c>
      <c r="D15" s="48">
        <v>3542.096</v>
      </c>
      <c r="E15" s="49">
        <v>3896.3056000000006</v>
      </c>
      <c r="F15" s="49">
        <v>4285.9361600000011</v>
      </c>
      <c r="G15" s="49">
        <v>4714.5297760000012</v>
      </c>
      <c r="H15" s="49">
        <v>59306.318458699519</v>
      </c>
    </row>
    <row r="16" spans="1:8">
      <c r="A16" s="41" t="s">
        <v>67</v>
      </c>
      <c r="B16" s="37" t="s">
        <v>40</v>
      </c>
      <c r="C16" s="50">
        <v>381.41</v>
      </c>
      <c r="D16" s="50">
        <v>484.45100000000002</v>
      </c>
      <c r="E16" s="51">
        <v>532.89610000000005</v>
      </c>
      <c r="F16" s="51">
        <v>586.1857100000002</v>
      </c>
      <c r="G16" s="51">
        <v>644.80428100000029</v>
      </c>
      <c r="H16" s="51">
        <v>8111.3005643086599</v>
      </c>
    </row>
    <row r="17" spans="1:8">
      <c r="A17" s="41" t="s">
        <v>68</v>
      </c>
      <c r="B17" s="37" t="s">
        <v>41</v>
      </c>
      <c r="C17" s="50">
        <v>2261.183</v>
      </c>
      <c r="D17" s="50">
        <v>3037.645</v>
      </c>
      <c r="E17" s="51">
        <v>3341.4095000000007</v>
      </c>
      <c r="F17" s="51">
        <v>3675.5504500000006</v>
      </c>
      <c r="G17" s="51">
        <v>4043.1054950000012</v>
      </c>
      <c r="H17" s="51">
        <v>50860.152219046649</v>
      </c>
    </row>
    <row r="18" spans="1:8">
      <c r="A18" s="41" t="s">
        <v>69</v>
      </c>
      <c r="B18" s="37" t="s">
        <v>42</v>
      </c>
      <c r="C18" s="50">
        <v>158.19999999999999</v>
      </c>
      <c r="D18" s="50">
        <v>20</v>
      </c>
      <c r="E18" s="51">
        <v>22</v>
      </c>
      <c r="F18" s="51">
        <v>24.200000000000003</v>
      </c>
      <c r="G18" s="51">
        <v>26.620000000000008</v>
      </c>
      <c r="H18" s="51">
        <v>334.86567534420021</v>
      </c>
    </row>
    <row r="19" spans="1:8" ht="27.6">
      <c r="A19" s="41" t="s">
        <v>70</v>
      </c>
      <c r="B19" s="37" t="s">
        <v>43</v>
      </c>
      <c r="C19" s="50">
        <v>0</v>
      </c>
      <c r="D19" s="50">
        <v>0</v>
      </c>
      <c r="E19" s="51">
        <v>0</v>
      </c>
      <c r="F19" s="51">
        <v>0</v>
      </c>
      <c r="G19" s="51">
        <v>0</v>
      </c>
      <c r="H19" s="51">
        <v>0</v>
      </c>
    </row>
    <row r="20" spans="1:8">
      <c r="A20" s="41" t="s">
        <v>71</v>
      </c>
      <c r="B20" s="37" t="s">
        <v>44</v>
      </c>
      <c r="C20" s="50">
        <v>0</v>
      </c>
      <c r="D20" s="50">
        <v>0</v>
      </c>
      <c r="E20" s="51">
        <v>0</v>
      </c>
      <c r="F20" s="51">
        <v>0</v>
      </c>
      <c r="G20" s="51">
        <v>0</v>
      </c>
      <c r="H20" s="51">
        <v>0</v>
      </c>
    </row>
    <row r="21" spans="1:8" ht="27.6">
      <c r="A21" s="41" t="s">
        <v>72</v>
      </c>
      <c r="B21" s="37" t="s">
        <v>45</v>
      </c>
      <c r="C21" s="50">
        <v>0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</row>
    <row r="22" spans="1:8" ht="27.6">
      <c r="A22" s="41" t="s">
        <v>73</v>
      </c>
      <c r="B22" s="37" t="s">
        <v>46</v>
      </c>
      <c r="C22" s="50">
        <v>0</v>
      </c>
      <c r="D22" s="50">
        <v>0</v>
      </c>
      <c r="E22" s="51">
        <v>0</v>
      </c>
      <c r="F22" s="51">
        <v>0</v>
      </c>
      <c r="G22" s="51">
        <v>0</v>
      </c>
      <c r="H22" s="51">
        <v>0</v>
      </c>
    </row>
    <row r="23" spans="1:8">
      <c r="A23" s="40" t="s">
        <v>74</v>
      </c>
      <c r="B23" s="36" t="s">
        <v>47</v>
      </c>
      <c r="C23" s="48">
        <v>792.678</v>
      </c>
      <c r="D23" s="48">
        <v>1877.319</v>
      </c>
      <c r="E23" s="51">
        <v>2065.0509000000002</v>
      </c>
      <c r="F23" s="51">
        <v>2271.5559900000003</v>
      </c>
      <c r="G23" s="51">
        <v>2498.7115890000005</v>
      </c>
      <c r="H23" s="51">
        <v>31432.484738574931</v>
      </c>
    </row>
    <row r="24" spans="1:8" ht="27.6">
      <c r="A24" s="40">
        <v>4</v>
      </c>
      <c r="B24" s="36" t="s">
        <v>48</v>
      </c>
      <c r="C24" s="48">
        <v>2529.5819999999999</v>
      </c>
      <c r="D24" s="48">
        <v>2381.4920000000002</v>
      </c>
      <c r="E24" s="51">
        <v>2619.6412</v>
      </c>
      <c r="F24" s="51">
        <v>2881.6053200000001</v>
      </c>
      <c r="G24" s="51">
        <v>3169.7658520000005</v>
      </c>
      <c r="H24" s="51">
        <v>39873.996345340507</v>
      </c>
    </row>
    <row r="25" spans="1:8">
      <c r="A25" s="55">
        <v>5</v>
      </c>
      <c r="B25" s="56" t="s">
        <v>49</v>
      </c>
      <c r="C25" s="57">
        <v>0</v>
      </c>
      <c r="D25" s="57">
        <v>784.59400000000005</v>
      </c>
      <c r="E25" s="58">
        <v>863.05340000000001</v>
      </c>
      <c r="F25" s="58">
        <v>949.35874000000013</v>
      </c>
      <c r="G25" s="58">
        <v>1044.2946140000001</v>
      </c>
      <c r="H25" s="58">
        <v>13136.679984050366</v>
      </c>
    </row>
    <row r="26" spans="1:8" ht="27.6">
      <c r="A26" s="40" t="s">
        <v>75</v>
      </c>
      <c r="B26" s="36" t="s">
        <v>50</v>
      </c>
      <c r="C26" s="48">
        <v>0</v>
      </c>
      <c r="D26" s="48">
        <v>0</v>
      </c>
      <c r="E26" s="51">
        <v>0</v>
      </c>
      <c r="F26" s="51">
        <v>0</v>
      </c>
      <c r="G26" s="51">
        <v>0</v>
      </c>
      <c r="H26" s="51">
        <v>0</v>
      </c>
    </row>
    <row r="27" spans="1:8">
      <c r="A27" s="40">
        <v>7</v>
      </c>
      <c r="B27" s="36" t="s">
        <v>51</v>
      </c>
      <c r="C27" s="48">
        <v>0</v>
      </c>
      <c r="D27" s="48">
        <v>0</v>
      </c>
      <c r="E27" s="49">
        <v>0</v>
      </c>
      <c r="F27" s="49">
        <v>0</v>
      </c>
      <c r="G27" s="49">
        <v>0</v>
      </c>
      <c r="H27" s="49">
        <v>0</v>
      </c>
    </row>
    <row r="28" spans="1:8">
      <c r="A28" s="41" t="s">
        <v>76</v>
      </c>
      <c r="B28" s="37" t="s">
        <v>52</v>
      </c>
      <c r="C28" s="50">
        <v>0</v>
      </c>
      <c r="D28" s="50"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>
      <c r="A29" s="41" t="s">
        <v>77</v>
      </c>
      <c r="B29" s="37" t="s">
        <v>53</v>
      </c>
      <c r="C29" s="50">
        <v>0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</row>
    <row r="30" spans="1:8" ht="27.6">
      <c r="A30" s="41" t="s">
        <v>78</v>
      </c>
      <c r="B30" s="37" t="s">
        <v>54</v>
      </c>
      <c r="C30" s="50">
        <v>0</v>
      </c>
      <c r="D30" s="50">
        <v>0</v>
      </c>
      <c r="E30" s="51">
        <v>0</v>
      </c>
      <c r="F30" s="51">
        <v>0</v>
      </c>
      <c r="G30" s="51">
        <v>0</v>
      </c>
      <c r="H30" s="51">
        <v>0</v>
      </c>
    </row>
    <row r="31" spans="1:8" ht="27.6">
      <c r="A31" s="41" t="s">
        <v>79</v>
      </c>
      <c r="B31" s="37" t="s">
        <v>55</v>
      </c>
      <c r="C31" s="50">
        <v>0</v>
      </c>
      <c r="D31" s="50">
        <v>0</v>
      </c>
      <c r="E31" s="51">
        <v>0</v>
      </c>
      <c r="F31" s="51">
        <v>0</v>
      </c>
      <c r="G31" s="51">
        <v>0</v>
      </c>
      <c r="H31" s="51">
        <v>0</v>
      </c>
    </row>
    <row r="32" spans="1:8" ht="16.2" thickBot="1">
      <c r="A32" s="42" t="s">
        <v>80</v>
      </c>
      <c r="B32" s="38" t="s">
        <v>56</v>
      </c>
      <c r="C32" s="52">
        <v>0</v>
      </c>
      <c r="D32" s="52">
        <v>0</v>
      </c>
      <c r="E32" s="53">
        <v>0</v>
      </c>
      <c r="F32" s="53">
        <v>0</v>
      </c>
      <c r="G32" s="53">
        <v>0</v>
      </c>
      <c r="H32" s="53">
        <v>0</v>
      </c>
    </row>
    <row r="33" spans="1:8" ht="16.2" thickBot="1">
      <c r="A33" s="10"/>
      <c r="B33" s="39" t="s">
        <v>21</v>
      </c>
      <c r="C33" s="9">
        <v>66530.182000000001</v>
      </c>
      <c r="D33" s="9">
        <v>79243.951000000001</v>
      </c>
      <c r="E33" s="8">
        <v>87168.34610000001</v>
      </c>
      <c r="F33" s="8">
        <v>95885.180710000001</v>
      </c>
      <c r="G33" s="8">
        <v>105473.69878100004</v>
      </c>
      <c r="H33" s="54">
        <v>1326803.9584278855</v>
      </c>
    </row>
    <row r="35" spans="1:8">
      <c r="D35" s="32"/>
    </row>
  </sheetData>
  <mergeCells count="6">
    <mergeCell ref="A2:H2"/>
    <mergeCell ref="A4:A5"/>
    <mergeCell ref="B4:B5"/>
    <mergeCell ref="D4:H4"/>
    <mergeCell ref="C4:C5"/>
    <mergeCell ref="G3:H3"/>
  </mergeCells>
  <pageMargins left="0.22" right="0.15748031496062992" top="0.67" bottom="0.56000000000000005" header="0.31496062992125984" footer="0.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1.6.1.кон-гент тушум</vt:lpstr>
      <vt:lpstr>мах-й тушум</vt:lpstr>
      <vt:lpstr>1.6.2.кон-гент кўшимча</vt:lpstr>
      <vt:lpstr>мах кўшимча</vt:lpstr>
      <vt:lpstr>захира фонди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2019-01-29T18:17:06Z</dcterms:modified>
</cp:coreProperties>
</file>